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Zones" sheetId="2" state="visible" r:id="rId2"/>
    <sheet xmlns:r="http://schemas.openxmlformats.org/officeDocument/2006/relationships" name="Fleet" sheetId="3" state="visible" r:id="rId3"/>
    <sheet xmlns:r="http://schemas.openxmlformats.org/officeDocument/2006/relationships" name="Bookings" sheetId="4" state="visible" r:id="rId4"/>
    <sheet xmlns:r="http://schemas.openxmlformats.org/officeDocument/2006/relationships" name="Dispatch board" sheetId="5" state="visible" r:id="rId5"/>
    <sheet xmlns:r="http://schemas.openxmlformats.org/officeDocument/2006/relationships" name="Manifest" sheetId="6" state="visible" r:id="rId6"/>
    <sheet xmlns:r="http://schemas.openxmlformats.org/officeDocument/2006/relationships" name="Costs" sheetId="7" state="visible" r:id="rId7"/>
  </sheets>
  <definedNames>
    <definedName name="Zones_Table">Zones!$A$5:$E$40</definedName>
    <definedName name="Zones_Hotels">Zones!$A$5:$A$16</definedName>
    <definedName name="Fleet_Table">Fleet!$A$5:$G$24</definedName>
    <definedName name="Fleet_Vehicles">Fleet!$A$5:$A$12</definedName>
    <definedName name="Board_Table">'Dispatch board'!$A$6:$O$45</definedName>
    <definedName name="Board_Runs">'Dispatch board'!$A$6:$A$17</definedName>
    <definedName name="Rate_Card">Costs!$A$5:$C$8</definedName>
    <definedName name="_xlnm.Print_Area" localSheetId="5">'Manifest'!$A$1:$I$48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hh:mm"/>
    <numFmt numFmtId="166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0A2238"/>
      <sz val="16"/>
    </font>
    <font>
      <name val="Calibri"/>
      <i val="1"/>
      <color rgb="005E7186"/>
      <sz val="10"/>
    </font>
    <font>
      <name val="Calibri"/>
      <sz val="10.5"/>
    </font>
    <font>
      <name val="Calibri"/>
      <b val="1"/>
      <color rgb="000A2238"/>
      <sz val="11"/>
    </font>
    <font>
      <name val="Calibri"/>
      <b val="1"/>
      <color rgb="00FFFFFF"/>
      <sz val="10"/>
    </font>
    <font>
      <name val="Calibri"/>
      <b val="1"/>
      <color rgb="005E7186"/>
      <sz val="10"/>
    </font>
    <font>
      <name val="Calibri"/>
      <b val="1"/>
      <color rgb="000A2238"/>
      <sz val="13"/>
    </font>
    <font>
      <name val="Calibri"/>
      <b val="1"/>
      <color rgb="000A2238"/>
      <sz val="10"/>
    </font>
  </fonts>
  <fills count="7">
    <fill>
      <patternFill/>
    </fill>
    <fill>
      <patternFill patternType="gray125"/>
    </fill>
    <fill>
      <patternFill patternType="solid">
        <fgColor rgb="000A2238"/>
      </patternFill>
    </fill>
    <fill>
      <patternFill patternType="solid">
        <fgColor rgb="00FFFFFF"/>
      </patternFill>
    </fill>
    <fill>
      <patternFill patternType="solid">
        <fgColor rgb="00F1F4F8"/>
      </patternFill>
    </fill>
    <fill>
      <patternFill patternType="solid">
        <fgColor rgb="00FFF4DA"/>
      </patternFill>
    </fill>
    <fill>
      <patternFill patternType="solid">
        <fgColor rgb="00E8EDF3"/>
      </patternFill>
    </fill>
  </fills>
  <borders count="3">
    <border>
      <left/>
      <right/>
      <top/>
      <bottom/>
      <diagonal/>
    </border>
    <border>
      <left style="thin">
        <color rgb="00C8D2DE"/>
      </left>
      <right style="thin">
        <color rgb="00C8D2DE"/>
      </right>
      <top style="thin">
        <color rgb="00C8D2DE"/>
      </top>
      <bottom style="thin">
        <color rgb="00C8D2DE"/>
      </bottom>
    </border>
    <border>
      <bottom style="thin">
        <color rgb="008A9BAD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1" fillId="0" borderId="0" pivotButton="0" quotePrefix="0" xfId="0"/>
    <xf numFmtId="0" fontId="2" fillId="0" borderId="0" pivotButton="0" quotePrefix="0" xfId="0"/>
    <xf numFmtId="0" fontId="5" fillId="2" borderId="1" applyAlignment="1" pivotButton="0" quotePrefix="0" xfId="0">
      <alignment vertical="center" wrapText="1"/>
    </xf>
    <xf numFmtId="0" fontId="3" fillId="3" borderId="1" pivotButton="0" quotePrefix="0" xfId="0"/>
    <xf numFmtId="164" fontId="3" fillId="3" borderId="1" pivotButton="0" quotePrefix="0" xfId="0"/>
    <xf numFmtId="165" fontId="3" fillId="3" borderId="1" pivotButton="0" quotePrefix="0" xfId="0"/>
    <xf numFmtId="0" fontId="3" fillId="4" borderId="1" pivotButton="0" quotePrefix="0" xfId="0"/>
    <xf numFmtId="0" fontId="6" fillId="0" borderId="0" pivotButton="0" quotePrefix="0" xfId="0"/>
    <xf numFmtId="0" fontId="4" fillId="0" borderId="1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7" fillId="5" borderId="1" applyAlignment="1" pivotButton="0" quotePrefix="0" xfId="0">
      <alignment horizontal="center"/>
    </xf>
    <xf numFmtId="164" fontId="3" fillId="4" borderId="1" pivotButton="0" quotePrefix="0" xfId="0"/>
    <xf numFmtId="165" fontId="3" fillId="4" borderId="1" pivotButton="0" quotePrefix="0" xfId="0"/>
    <xf numFmtId="0" fontId="5" fillId="2" borderId="1" pivotButton="0" quotePrefix="0" xfId="0"/>
    <xf numFmtId="0" fontId="3" fillId="0" borderId="1" pivotButton="0" quotePrefix="0" xfId="0"/>
    <xf numFmtId="165" fontId="3" fillId="0" borderId="1" pivotButton="0" quotePrefix="0" xfId="0"/>
    <xf numFmtId="0" fontId="3" fillId="6" borderId="1" pivotButton="0" quotePrefix="0" xfId="0"/>
    <xf numFmtId="165" fontId="3" fillId="6" borderId="1" pivotButton="0" quotePrefix="0" xfId="0"/>
    <xf numFmtId="0" fontId="8" fillId="0" borderId="0" pivotButton="0" quotePrefix="0" xfId="0"/>
    <xf numFmtId="0" fontId="0" fillId="0" borderId="2" pivotButton="0" quotePrefix="0" xfId="0"/>
    <xf numFmtId="4" fontId="3" fillId="0" borderId="1" pivotButton="0" quotePrefix="0" xfId="0"/>
    <xf numFmtId="4" fontId="3" fillId="4" borderId="1" pivotButton="0" quotePrefix="0" xfId="0"/>
    <xf numFmtId="4" fontId="3" fillId="3" borderId="1" pivotButton="0" quotePrefix="0" xfId="0"/>
    <xf numFmtId="166" fontId="3" fillId="4" borderId="1" pivotButton="0" quotePrefix="0" xfId="0"/>
    <xf numFmtId="4" fontId="4" fillId="0" borderId="1" pivotButton="0" quotePrefix="0" xfId="0"/>
    <xf numFmtId="166" fontId="4" fillId="0" borderId="1" pivotButton="0" quotePrefix="0" xfId="0"/>
  </cellXfs>
  <cellStyles count="1">
    <cellStyle name="Normal" xfId="0" builtinId="0" hidden="0"/>
  </cellStyles>
  <dxfs count="5">
    <dxf>
      <font>
        <b val="1"/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 val="1"/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A49"/>
  <sheetViews>
    <sheetView showGridLines="0" workbookViewId="0">
      <selection activeCell="A1" sqref="A1"/>
    </sheetView>
  </sheetViews>
  <sheetFormatPr baseColWidth="8" defaultRowHeight="15"/>
  <cols>
    <col width="108" customWidth="1" min="1" max="1"/>
  </cols>
  <sheetData>
    <row r="2" ht="26" customHeight="1">
      <c r="A2" s="1" t="inlineStr">
        <is>
          <t>Transfer dispatch template</t>
        </is>
      </c>
    </row>
    <row r="3">
      <c r="A3" s="2" t="inlineStr">
        <is>
          <t>A working Excel board for one day of airport transfers. Free to use, edit and share.</t>
        </is>
      </c>
    </row>
    <row r="4">
      <c r="A4" s="3" t="inlineStr"/>
    </row>
    <row r="5">
      <c r="A5" s="4" t="inlineStr">
        <is>
          <t>WHAT THIS IS</t>
        </is>
      </c>
    </row>
    <row r="6">
      <c r="A6" s="3" t="inlineStr">
        <is>
          <t>Seven sheets holding one day of airport transfer work: the bookings an agency sent you, the fleet</t>
        </is>
      </c>
    </row>
    <row r="7">
      <c r="A7" s="3" t="inlineStr">
        <is>
          <t>you can put against them, the board where you match the two, and the manifest a driver is handed.</t>
        </is>
      </c>
    </row>
    <row r="8">
      <c r="A8" s="3" t="inlineStr">
        <is>
          <t>It arrives filled with a sample day - one airport, twelve runs - so you can see it work before you</t>
        </is>
      </c>
    </row>
    <row r="9">
      <c r="A9" s="3" t="inlineStr">
        <is>
          <t>empty it. Every hotel, agency and driver name in it is invented.</t>
        </is>
      </c>
    </row>
    <row r="10">
      <c r="A10" s="3" t="inlineStr"/>
    </row>
    <row r="11">
      <c r="A11" s="4" t="inlineStr">
        <is>
          <t>THE ONE RULE</t>
        </is>
      </c>
    </row>
    <row r="12">
      <c r="A12" s="3" t="inlineStr">
        <is>
          <t>Anything on a pale grey background is a formula. Leave those cells alone. Everything on white is</t>
        </is>
      </c>
    </row>
    <row r="13">
      <c r="A13" s="3" t="inlineStr">
        <is>
          <t>yours to overwrite. That is the whole convention.</t>
        </is>
      </c>
    </row>
    <row r="14">
      <c r="A14" s="3" t="inlineStr"/>
    </row>
    <row r="15">
      <c r="A15" s="4" t="inlineStr">
        <is>
          <t>HOW TO USE IT</t>
        </is>
      </c>
    </row>
    <row r="16">
      <c r="A16" s="3" t="inlineStr">
        <is>
          <t>1.  Zones        List your hotels and the zone each belongs to. Everything else looks up from here.</t>
        </is>
      </c>
    </row>
    <row r="17">
      <c r="A17" s="3" t="inlineStr">
        <is>
          <t>2.  Fleet        List your vehicles, seats, drivers, and whether each is charged per run or per km.</t>
        </is>
      </c>
    </row>
    <row r="18">
      <c r="A18" s="3" t="inlineStr">
        <is>
          <t>3.  Bookings     Type or paste the day's bookings. The Zone column fills itself from the hotel.</t>
        </is>
      </c>
    </row>
    <row r="19">
      <c r="A19" s="3" t="inlineStr">
        <is>
          <t>4.  Dispatch board   One row per run. Give it a vehicle and a start and end time.</t>
        </is>
      </c>
    </row>
    <row r="20">
      <c r="A20" s="3" t="inlineStr">
        <is>
          <t xml:space="preserve">                 Then put the Run ID into the Run column on Bookings for every booking riding on it.</t>
        </is>
      </c>
    </row>
    <row r="21">
      <c r="A21" s="3" t="inlineStr">
        <is>
          <t>5.  Manifest     Pick a run in the yellow cell. The passenger list builds itself. Print it.</t>
        </is>
      </c>
    </row>
    <row r="22">
      <c r="A22" s="3" t="inlineStr">
        <is>
          <t>6.  Costs        Per-run and per-km rates, supplier cost and margin for each run.</t>
        </is>
      </c>
    </row>
    <row r="23">
      <c r="A23" s="3" t="inlineStr"/>
    </row>
    <row r="24">
      <c r="A24" s="4" t="inlineStr">
        <is>
          <t>THE TWO CHECKS IT RUNS FOR YOU</t>
        </is>
      </c>
    </row>
    <row r="25">
      <c r="A25" s="3" t="inlineStr">
        <is>
          <t>Capacity check   Goes red when the pax assigned to a run exceed the seats on the vehicle.</t>
        </is>
      </c>
    </row>
    <row r="26">
      <c r="A26" s="3" t="inlineStr">
        <is>
          <t>Vehicle check    Goes red when the same vehicle sits on two runs whose times overlap.</t>
        </is>
      </c>
    </row>
    <row r="27">
      <c r="A27" s="3" t="inlineStr">
        <is>
          <t>Both are live. Change a time or a pax count and the colour follows immediately.</t>
        </is>
      </c>
    </row>
    <row r="28">
      <c r="A28" s="3" t="inlineStr"/>
    </row>
    <row r="29">
      <c r="A29" s="3" t="inlineStr">
        <is>
          <t>The sample day carries one of each on purpose, so you can see them fire:</t>
        </is>
      </c>
    </row>
    <row r="30">
      <c r="A30" s="3" t="inlineStr">
        <is>
          <t xml:space="preserve">   R05 is over capacity  - 10 pax booked onto an 8-seat van, because BK-1054 was added late.</t>
        </is>
      </c>
    </row>
    <row r="31">
      <c r="A31" s="3" t="inlineStr">
        <is>
          <t xml:space="preserve">   R08 and R09 clash     - both hold V-03 Vito 8A, and 14:50 to 15:40 is on both runs.</t>
        </is>
      </c>
    </row>
    <row r="32">
      <c r="A32" s="3" t="inlineStr">
        <is>
          <t>Fix either one and watch the red go. Put it back and watch it return.</t>
        </is>
      </c>
    </row>
    <row r="33">
      <c r="A33" s="3" t="inlineStr"/>
    </row>
    <row r="34">
      <c r="A34" s="4" t="inlineStr">
        <is>
          <t>WHAT IT WILL NOT DO</t>
        </is>
      </c>
    </row>
    <row r="35">
      <c r="A35" s="3" t="inlineStr">
        <is>
          <t>It will not stop two people editing at once. The second to save wins, and nobody is told.</t>
        </is>
      </c>
    </row>
    <row r="36">
      <c r="A36" s="3" t="inlineStr">
        <is>
          <t>It will not tell a driver anything. A printed manifest does not change when a flight slips.</t>
        </is>
      </c>
    </row>
    <row r="37">
      <c r="A37" s="3" t="inlineStr">
        <is>
          <t>It will not remember what it used to say. There is no history to settle an argument against.</t>
        </is>
      </c>
    </row>
    <row r="38">
      <c r="A38" s="3" t="inlineStr">
        <is>
          <t>It will not reach the field. Drivers, guides and sellers are not in this file, so they stay on the phone.</t>
        </is>
      </c>
    </row>
    <row r="39">
      <c r="A39" s="3" t="inlineStr"/>
    </row>
    <row r="40">
      <c r="A40" s="3" t="inlineStr">
        <is>
          <t>Those four are not faults in this workbook. They are what a spreadsheet is. They are written up</t>
        </is>
      </c>
    </row>
    <row r="41">
      <c r="A41" s="3" t="inlineStr">
        <is>
          <t>honestly, at length, at:  os-meridian.com/resources/transfer-dispatch-template/</t>
        </is>
      </c>
    </row>
    <row r="42">
      <c r="A42" s="3" t="inlineStr"/>
    </row>
    <row r="43">
      <c r="A43" s="4" t="inlineStr">
        <is>
          <t>STARTING FROM EMPTY</t>
        </is>
      </c>
    </row>
    <row r="44">
      <c r="A44" s="3" t="inlineStr">
        <is>
          <t>Select the white cells holding sample data and press Delete. Do not delete the rows themselves -</t>
        </is>
      </c>
    </row>
    <row r="45">
      <c r="A45" s="3" t="inlineStr">
        <is>
          <t>the grey formula columns are already stretched down past the sample, ready for your own day.</t>
        </is>
      </c>
    </row>
    <row r="46">
      <c r="A46" s="3" t="inlineStr"/>
    </row>
    <row r="47">
      <c r="A47" s="4" t="inlineStr">
        <is>
          <t>LICENCE</t>
        </is>
      </c>
    </row>
    <row r="48">
      <c r="A48" s="3" t="inlineStr">
        <is>
          <t>Made by Meridian OS. Use it, change it, sell transfers with it, hand it to anyone. No attribution</t>
        </is>
      </c>
    </row>
    <row r="49">
      <c r="A49" s="3" t="inlineStr">
        <is>
          <t>asked for and nothing to sign.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2" customWidth="1" min="3" max="3"/>
    <col width="24" customWidth="1" min="4" max="4"/>
    <col width="34" customWidth="1" min="5" max="5"/>
  </cols>
  <sheetData>
    <row r="1">
      <c r="A1" s="5" t="inlineStr">
        <is>
          <t>Zones</t>
        </is>
      </c>
    </row>
    <row r="2">
      <c r="A2" s="6" t="inlineStr">
        <is>
          <t>Your hotel-to-zone lookup. The Bookings sheet reads this. Add every hotel you serve.</t>
        </is>
      </c>
    </row>
    <row r="4" ht="30" customHeight="1">
      <c r="A4" s="7" t="inlineStr">
        <is>
          <t>Hotel</t>
        </is>
      </c>
      <c r="B4" s="7" t="inlineStr">
        <is>
          <t>Zone</t>
        </is>
      </c>
      <c r="C4" s="7" t="inlineStr">
        <is>
          <t>Zone code</t>
        </is>
      </c>
      <c r="D4" s="7" t="inlineStr">
        <is>
          <t>Drive from airport (min)</t>
        </is>
      </c>
      <c r="E4" s="7" t="inlineStr">
        <is>
          <t>Notes</t>
        </is>
      </c>
    </row>
    <row r="5">
      <c r="A5" s="8" t="inlineStr">
        <is>
          <t>Hotel Azul Bay</t>
        </is>
      </c>
      <c r="B5" s="8" t="inlineStr">
        <is>
          <t>Bay Central</t>
        </is>
      </c>
      <c r="C5" s="8" t="inlineStr">
        <is>
          <t>BAY</t>
        </is>
      </c>
      <c r="D5" s="8" t="n">
        <v>18</v>
      </c>
      <c r="E5" s="8" t="n"/>
    </row>
    <row r="6">
      <c r="A6" s="8" t="inlineStr">
        <is>
          <t>Marina Blanca Suites</t>
        </is>
      </c>
      <c r="B6" s="8" t="inlineStr">
        <is>
          <t>Bay Central</t>
        </is>
      </c>
      <c r="C6" s="8" t="inlineStr">
        <is>
          <t>BAY</t>
        </is>
      </c>
      <c r="D6" s="8" t="n">
        <v>20</v>
      </c>
      <c r="E6" s="8" t="n"/>
    </row>
    <row r="7">
      <c r="A7" s="8" t="inlineStr">
        <is>
          <t>Terrazas del Puerto</t>
        </is>
      </c>
      <c r="B7" s="8" t="inlineStr">
        <is>
          <t>Bay Central</t>
        </is>
      </c>
      <c r="C7" s="8" t="inlineStr">
        <is>
          <t>BAY</t>
        </is>
      </c>
      <c r="D7" s="8" t="n">
        <v>17</v>
      </c>
      <c r="E7" s="8" t="n"/>
    </row>
    <row r="8">
      <c r="A8" s="8" t="inlineStr">
        <is>
          <t>Palmera Grand Resort</t>
        </is>
      </c>
      <c r="B8" s="8" t="inlineStr">
        <is>
          <t>North Coast</t>
        </is>
      </c>
      <c r="C8" s="8" t="inlineStr">
        <is>
          <t>NOR</t>
        </is>
      </c>
      <c r="D8" s="8" t="n">
        <v>42</v>
      </c>
      <c r="E8" s="8" t="n"/>
    </row>
    <row r="9">
      <c r="A9" s="8" t="inlineStr">
        <is>
          <t>Hotel Dunas Norte</t>
        </is>
      </c>
      <c r="B9" s="8" t="inlineStr">
        <is>
          <t>North Coast</t>
        </is>
      </c>
      <c r="C9" s="8" t="inlineStr">
        <is>
          <t>NOR</t>
        </is>
      </c>
      <c r="D9" s="8" t="n">
        <v>46</v>
      </c>
      <c r="E9" s="8" t="n"/>
    </row>
    <row r="10">
      <c r="A10" s="8" t="inlineStr">
        <is>
          <t>Bahia Coral Resort</t>
        </is>
      </c>
      <c r="B10" s="8" t="inlineStr">
        <is>
          <t>North Coast</t>
        </is>
      </c>
      <c r="C10" s="8" t="inlineStr">
        <is>
          <t>NOR</t>
        </is>
      </c>
      <c r="D10" s="8" t="n">
        <v>39</v>
      </c>
      <c r="E10" s="8" t="n"/>
    </row>
    <row r="11">
      <c r="A11" s="8" t="inlineStr">
        <is>
          <t>Casa del Sol</t>
        </is>
      </c>
      <c r="B11" s="8" t="inlineStr">
        <is>
          <t>Old Town</t>
        </is>
      </c>
      <c r="C11" s="8" t="inlineStr">
        <is>
          <t>OLD</t>
        </is>
      </c>
      <c r="D11" s="8" t="n">
        <v>12</v>
      </c>
      <c r="E11" s="8" t="n"/>
    </row>
    <row r="12">
      <c r="A12" s="8" t="inlineStr">
        <is>
          <t>Hostal Camino Viejo</t>
        </is>
      </c>
      <c r="B12" s="8" t="inlineStr">
        <is>
          <t>Old Town</t>
        </is>
      </c>
      <c r="C12" s="8" t="inlineStr">
        <is>
          <t>OLD</t>
        </is>
      </c>
      <c r="D12" s="8" t="n">
        <v>13</v>
      </c>
      <c r="E12" s="8" t="n"/>
    </row>
    <row r="13">
      <c r="A13" s="8" t="inlineStr">
        <is>
          <t>Hotel Piedra Blanca</t>
        </is>
      </c>
      <c r="B13" s="8" t="inlineStr">
        <is>
          <t>Old Town</t>
        </is>
      </c>
      <c r="C13" s="8" t="inlineStr">
        <is>
          <t>OLD</t>
        </is>
      </c>
      <c r="D13" s="8" t="n">
        <v>14</v>
      </c>
      <c r="E13" s="8" t="n"/>
    </row>
    <row r="14">
      <c r="A14" s="8" t="inlineStr">
        <is>
          <t>Mirador Cliff Hotel</t>
        </is>
      </c>
      <c r="B14" s="8" t="inlineStr">
        <is>
          <t>South Cliffs</t>
        </is>
      </c>
      <c r="C14" s="8" t="inlineStr">
        <is>
          <t>SOU</t>
        </is>
      </c>
      <c r="D14" s="8" t="n">
        <v>35</v>
      </c>
      <c r="E14" s="8" t="n"/>
    </row>
    <row r="15">
      <c r="A15" s="8" t="inlineStr">
        <is>
          <t>Villa Sereno</t>
        </is>
      </c>
      <c r="B15" s="8" t="inlineStr">
        <is>
          <t>South Cliffs</t>
        </is>
      </c>
      <c r="C15" s="8" t="inlineStr">
        <is>
          <t>SOU</t>
        </is>
      </c>
      <c r="D15" s="8" t="n">
        <v>33</v>
      </c>
      <c r="E15" s="8" t="n"/>
    </row>
    <row r="16">
      <c r="A16" s="8" t="inlineStr">
        <is>
          <t>Aparthotel Verdemar</t>
        </is>
      </c>
      <c r="B16" s="8" t="inlineStr">
        <is>
          <t>South Cliffs</t>
        </is>
      </c>
      <c r="C16" s="8" t="inlineStr">
        <is>
          <t>SOU</t>
        </is>
      </c>
      <c r="D16" s="8" t="n">
        <v>37</v>
      </c>
      <c r="E16" s="8" t="n"/>
    </row>
    <row r="17">
      <c r="A17" s="8" t="n"/>
      <c r="B17" s="8" t="n"/>
      <c r="C17" s="8" t="n"/>
      <c r="D17" s="8" t="n"/>
      <c r="E17" s="8" t="n"/>
    </row>
    <row r="18">
      <c r="A18" s="8" t="n"/>
      <c r="B18" s="8" t="n"/>
      <c r="C18" s="8" t="n"/>
      <c r="D18" s="8" t="n"/>
      <c r="E18" s="8" t="n"/>
    </row>
    <row r="19">
      <c r="A19" s="8" t="n"/>
      <c r="B19" s="8" t="n"/>
      <c r="C19" s="8" t="n"/>
      <c r="D19" s="8" t="n"/>
      <c r="E19" s="8" t="n"/>
    </row>
    <row r="20">
      <c r="A20" s="8" t="n"/>
      <c r="B20" s="8" t="n"/>
      <c r="C20" s="8" t="n"/>
      <c r="D20" s="8" t="n"/>
      <c r="E20" s="8" t="n"/>
    </row>
    <row r="21">
      <c r="A21" s="8" t="n"/>
      <c r="B21" s="8" t="n"/>
      <c r="C21" s="8" t="n"/>
      <c r="D21" s="8" t="n"/>
      <c r="E21" s="8" t="n"/>
    </row>
    <row r="22">
      <c r="A22" s="8" t="n"/>
      <c r="B22" s="8" t="n"/>
      <c r="C22" s="8" t="n"/>
      <c r="D22" s="8" t="n"/>
      <c r="E22" s="8" t="n"/>
    </row>
    <row r="23">
      <c r="A23" s="8" t="n"/>
      <c r="B23" s="8" t="n"/>
      <c r="C23" s="8" t="n"/>
      <c r="D23" s="8" t="n"/>
      <c r="E23" s="8" t="n"/>
    </row>
    <row r="24">
      <c r="A24" s="8" t="n"/>
      <c r="B24" s="8" t="n"/>
      <c r="C24" s="8" t="n"/>
      <c r="D24" s="8" t="n"/>
      <c r="E24" s="8" t="n"/>
    </row>
    <row r="25">
      <c r="A25" s="8" t="n"/>
      <c r="B25" s="8" t="n"/>
      <c r="C25" s="8" t="n"/>
      <c r="D25" s="8" t="n"/>
      <c r="E25" s="8" t="n"/>
    </row>
    <row r="26">
      <c r="A26" s="8" t="n"/>
      <c r="B26" s="8" t="n"/>
      <c r="C26" s="8" t="n"/>
      <c r="D26" s="8" t="n"/>
      <c r="E26" s="8" t="n"/>
    </row>
    <row r="27">
      <c r="A27" s="8" t="n"/>
      <c r="B27" s="8" t="n"/>
      <c r="C27" s="8" t="n"/>
      <c r="D27" s="8" t="n"/>
      <c r="E27" s="8" t="n"/>
    </row>
    <row r="28">
      <c r="A28" s="8" t="n"/>
      <c r="B28" s="8" t="n"/>
      <c r="C28" s="8" t="n"/>
      <c r="D28" s="8" t="n"/>
      <c r="E28" s="8" t="n"/>
    </row>
    <row r="29">
      <c r="A29" s="8" t="n"/>
      <c r="B29" s="8" t="n"/>
      <c r="C29" s="8" t="n"/>
      <c r="D29" s="8" t="n"/>
      <c r="E29" s="8" t="n"/>
    </row>
    <row r="30">
      <c r="A30" s="8" t="n"/>
      <c r="B30" s="8" t="n"/>
      <c r="C30" s="8" t="n"/>
      <c r="D30" s="8" t="n"/>
      <c r="E30" s="8" t="n"/>
    </row>
    <row r="31">
      <c r="A31" s="8" t="n"/>
      <c r="B31" s="8" t="n"/>
      <c r="C31" s="8" t="n"/>
      <c r="D31" s="8" t="n"/>
      <c r="E31" s="8" t="n"/>
    </row>
    <row r="32">
      <c r="A32" s="8" t="n"/>
      <c r="B32" s="8" t="n"/>
      <c r="C32" s="8" t="n"/>
      <c r="D32" s="8" t="n"/>
      <c r="E32" s="8" t="n"/>
    </row>
    <row r="33">
      <c r="A33" s="8" t="n"/>
      <c r="B33" s="8" t="n"/>
      <c r="C33" s="8" t="n"/>
      <c r="D33" s="8" t="n"/>
      <c r="E33" s="8" t="n"/>
    </row>
    <row r="34">
      <c r="A34" s="8" t="n"/>
      <c r="B34" s="8" t="n"/>
      <c r="C34" s="8" t="n"/>
      <c r="D34" s="8" t="n"/>
      <c r="E34" s="8" t="n"/>
    </row>
    <row r="35">
      <c r="A35" s="8" t="n"/>
      <c r="B35" s="8" t="n"/>
      <c r="C35" s="8" t="n"/>
      <c r="D35" s="8" t="n"/>
      <c r="E35" s="8" t="n"/>
    </row>
    <row r="36">
      <c r="A36" s="8" t="n"/>
      <c r="B36" s="8" t="n"/>
      <c r="C36" s="8" t="n"/>
      <c r="D36" s="8" t="n"/>
      <c r="E36" s="8" t="n"/>
    </row>
    <row r="37">
      <c r="A37" s="8" t="n"/>
      <c r="B37" s="8" t="n"/>
      <c r="C37" s="8" t="n"/>
      <c r="D37" s="8" t="n"/>
      <c r="E37" s="8" t="n"/>
    </row>
    <row r="38">
      <c r="A38" s="8" t="n"/>
      <c r="B38" s="8" t="n"/>
      <c r="C38" s="8" t="n"/>
      <c r="D38" s="8" t="n"/>
      <c r="E38" s="8" t="n"/>
    </row>
    <row r="39">
      <c r="A39" s="8" t="n"/>
      <c r="B39" s="8" t="n"/>
      <c r="C39" s="8" t="n"/>
      <c r="D39" s="8" t="n"/>
      <c r="E39" s="8" t="n"/>
    </row>
    <row r="40">
      <c r="A40" s="8" t="n"/>
      <c r="B40" s="8" t="n"/>
      <c r="C40" s="8" t="n"/>
      <c r="D40" s="8" t="n"/>
      <c r="E40" s="8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8" customWidth="1" min="3" max="3"/>
    <col width="18" customWidth="1" min="4" max="4"/>
    <col width="30" customWidth="1" min="5" max="5"/>
    <col width="12" customWidth="1" min="6" max="6"/>
    <col width="26" customWidth="1" min="7" max="7"/>
  </cols>
  <sheetData>
    <row r="1">
      <c r="A1" s="5" t="inlineStr">
        <is>
          <t>Fleet</t>
        </is>
      </c>
    </row>
    <row r="2">
      <c r="A2" s="6" t="inlineStr">
        <is>
          <t>Every vehicle you can dispatch. The Dispatch board reads seats and driver from here.</t>
        </is>
      </c>
    </row>
    <row r="4" ht="30" customHeight="1">
      <c r="A4" s="7" t="inlineStr">
        <is>
          <t>Vehicle</t>
        </is>
      </c>
      <c r="B4" s="7" t="inlineStr">
        <is>
          <t>Type</t>
        </is>
      </c>
      <c r="C4" s="7" t="inlineStr">
        <is>
          <t>Seats</t>
        </is>
      </c>
      <c r="D4" s="7" t="inlineStr">
        <is>
          <t>Driver</t>
        </is>
      </c>
      <c r="E4" s="7" t="inlineStr">
        <is>
          <t>Subcontractor</t>
        </is>
      </c>
      <c r="F4" s="7" t="inlineStr">
        <is>
          <t>Cost basis</t>
        </is>
      </c>
      <c r="G4" s="7" t="inlineStr">
        <is>
          <t>Notes</t>
        </is>
      </c>
    </row>
    <row r="5">
      <c r="A5" s="8" t="inlineStr">
        <is>
          <t>V-01 Sprinter 16A</t>
        </is>
      </c>
      <c r="B5" s="8" t="inlineStr">
        <is>
          <t>Minibus</t>
        </is>
      </c>
      <c r="C5" s="8" t="n">
        <v>16</v>
      </c>
      <c r="D5" s="8" t="inlineStr">
        <is>
          <t>L. Ferreira</t>
        </is>
      </c>
      <c r="E5" s="8" t="inlineStr"/>
      <c r="F5" s="8" t="inlineStr">
        <is>
          <t>Per run</t>
        </is>
      </c>
      <c r="G5" s="8" t="inlineStr"/>
    </row>
    <row r="6">
      <c r="A6" s="8" t="inlineStr">
        <is>
          <t>V-02 Sprinter 16B</t>
        </is>
      </c>
      <c r="B6" s="8" t="inlineStr">
        <is>
          <t>Minibus</t>
        </is>
      </c>
      <c r="C6" s="8" t="n">
        <v>16</v>
      </c>
      <c r="D6" s="8" t="inlineStr">
        <is>
          <t>M. Kovac</t>
        </is>
      </c>
      <c r="E6" s="8" t="inlineStr"/>
      <c r="F6" s="8" t="inlineStr">
        <is>
          <t>Per run</t>
        </is>
      </c>
      <c r="G6" s="8" t="inlineStr"/>
    </row>
    <row r="7">
      <c r="A7" s="8" t="inlineStr">
        <is>
          <t>V-03 Vito 8A</t>
        </is>
      </c>
      <c r="B7" s="8" t="inlineStr">
        <is>
          <t>Van</t>
        </is>
      </c>
      <c r="C7" s="8" t="n">
        <v>8</v>
      </c>
      <c r="D7" s="8" t="inlineStr">
        <is>
          <t>T. Bianchi</t>
        </is>
      </c>
      <c r="E7" s="8" t="inlineStr"/>
      <c r="F7" s="8" t="inlineStr">
        <is>
          <t>Per run</t>
        </is>
      </c>
      <c r="G7" s="8" t="inlineStr"/>
    </row>
    <row r="8">
      <c r="A8" s="8" t="inlineStr">
        <is>
          <t>V-04 Coach 50</t>
        </is>
      </c>
      <c r="B8" s="8" t="inlineStr">
        <is>
          <t>Coach</t>
        </is>
      </c>
      <c r="C8" s="8" t="n">
        <v>50</v>
      </c>
      <c r="D8" s="8" t="inlineStr">
        <is>
          <t>R. Duarte</t>
        </is>
      </c>
      <c r="E8" s="8" t="inlineStr"/>
      <c r="F8" s="8" t="inlineStr">
        <is>
          <t>Per km</t>
        </is>
      </c>
      <c r="G8" s="8" t="inlineStr">
        <is>
          <t>Group work only</t>
        </is>
      </c>
    </row>
    <row r="9">
      <c r="A9" s="8" t="inlineStr">
        <is>
          <t>V-05 Sedan 3A</t>
        </is>
      </c>
      <c r="B9" s="8" t="inlineStr">
        <is>
          <t>Car</t>
        </is>
      </c>
      <c r="C9" s="8" t="n">
        <v>3</v>
      </c>
      <c r="D9" s="8" t="inlineStr">
        <is>
          <t>S. Nakamura</t>
        </is>
      </c>
      <c r="E9" s="8" t="inlineStr"/>
      <c r="F9" s="8" t="inlineStr">
        <is>
          <t>Per run</t>
        </is>
      </c>
      <c r="G9" s="8" t="inlineStr">
        <is>
          <t>VIP / private</t>
        </is>
      </c>
    </row>
    <row r="10">
      <c r="A10" s="8" t="inlineStr">
        <is>
          <t>V-06 Partner Van 8</t>
        </is>
      </c>
      <c r="B10" s="8" t="inlineStr">
        <is>
          <t>Van</t>
        </is>
      </c>
      <c r="C10" s="8" t="n">
        <v>8</v>
      </c>
      <c r="D10" s="8" t="inlineStr">
        <is>
          <t>J. Okafor</t>
        </is>
      </c>
      <c r="E10" s="8" t="inlineStr">
        <is>
          <t>Costa Verde Transfers (sample)</t>
        </is>
      </c>
      <c r="F10" s="8" t="inlineStr">
        <is>
          <t>Per run</t>
        </is>
      </c>
      <c r="G10" s="8" t="inlineStr"/>
    </row>
    <row r="11">
      <c r="A11" s="8" t="inlineStr">
        <is>
          <t>V-07 Partner Minibus 19</t>
        </is>
      </c>
      <c r="B11" s="8" t="inlineStr">
        <is>
          <t>Minibus</t>
        </is>
      </c>
      <c r="C11" s="8" t="n">
        <v>19</v>
      </c>
      <c r="D11" s="8" t="inlineStr">
        <is>
          <t>(partner driver)</t>
        </is>
      </c>
      <c r="E11" s="8" t="inlineStr">
        <is>
          <t>Costa Verde Transfers (sample)</t>
        </is>
      </c>
      <c r="F11" s="8" t="inlineStr">
        <is>
          <t>Per km</t>
        </is>
      </c>
      <c r="G11" s="8" t="inlineStr"/>
    </row>
    <row r="12">
      <c r="A12" s="8" t="inlineStr">
        <is>
          <t>V-08 Vito 8B</t>
        </is>
      </c>
      <c r="B12" s="8" t="inlineStr">
        <is>
          <t>Van</t>
        </is>
      </c>
      <c r="C12" s="8" t="n">
        <v>8</v>
      </c>
      <c r="D12" s="8" t="inlineStr">
        <is>
          <t>A. Lindqvist</t>
        </is>
      </c>
      <c r="E12" s="8" t="inlineStr"/>
      <c r="F12" s="8" t="inlineStr">
        <is>
          <t>Per run</t>
        </is>
      </c>
      <c r="G12" s="8" t="inlineStr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  <row r="17">
      <c r="A17" s="8" t="n"/>
      <c r="B17" s="8" t="n"/>
      <c r="C17" s="8" t="n"/>
      <c r="D17" s="8" t="n"/>
      <c r="E17" s="8" t="n"/>
      <c r="F17" s="8" t="n"/>
      <c r="G17" s="8" t="n"/>
    </row>
    <row r="18">
      <c r="A18" s="8" t="n"/>
      <c r="B18" s="8" t="n"/>
      <c r="C18" s="8" t="n"/>
      <c r="D18" s="8" t="n"/>
      <c r="E18" s="8" t="n"/>
      <c r="F18" s="8" t="n"/>
      <c r="G18" s="8" t="n"/>
    </row>
    <row r="19">
      <c r="A19" s="8" t="n"/>
      <c r="B19" s="8" t="n"/>
      <c r="C19" s="8" t="n"/>
      <c r="D19" s="8" t="n"/>
      <c r="E19" s="8" t="n"/>
      <c r="F19" s="8" t="n"/>
      <c r="G19" s="8" t="n"/>
    </row>
    <row r="20">
      <c r="A20" s="8" t="n"/>
      <c r="B20" s="8" t="n"/>
      <c r="C20" s="8" t="n"/>
      <c r="D20" s="8" t="n"/>
      <c r="E20" s="8" t="n"/>
      <c r="F20" s="8" t="n"/>
      <c r="G20" s="8" t="n"/>
    </row>
    <row r="21">
      <c r="A21" s="8" t="n"/>
      <c r="B21" s="8" t="n"/>
      <c r="C21" s="8" t="n"/>
      <c r="D21" s="8" t="n"/>
      <c r="E21" s="8" t="n"/>
      <c r="F21" s="8" t="n"/>
      <c r="G21" s="8" t="n"/>
    </row>
    <row r="22">
      <c r="A22" s="8" t="n"/>
      <c r="B22" s="8" t="n"/>
      <c r="C22" s="8" t="n"/>
      <c r="D22" s="8" t="n"/>
      <c r="E22" s="8" t="n"/>
      <c r="F22" s="8" t="n"/>
      <c r="G22" s="8" t="n"/>
    </row>
    <row r="23">
      <c r="A23" s="8" t="n"/>
      <c r="B23" s="8" t="n"/>
      <c r="C23" s="8" t="n"/>
      <c r="D23" s="8" t="n"/>
      <c r="E23" s="8" t="n"/>
      <c r="F23" s="8" t="n"/>
      <c r="G23" s="8" t="n"/>
    </row>
    <row r="24">
      <c r="A24" s="8" t="n"/>
      <c r="B24" s="8" t="n"/>
      <c r="C24" s="8" t="n"/>
      <c r="D24" s="8" t="n"/>
      <c r="E24" s="8" t="n"/>
      <c r="F24" s="8" t="n"/>
      <c r="G24" s="8" t="n"/>
    </row>
  </sheetData>
  <dataValidations count="2">
    <dataValidation sqref="B5:B24" showDropDown="0" showInputMessage="0" showErrorMessage="0" allowBlank="1" type="list">
      <formula1>"Car,Van,Minibus,Coach"</formula1>
    </dataValidation>
    <dataValidation sqref="F5:F24" showDropDown="0" showInputMessage="0" showErrorMessage="0" allowBlank="1" type="list">
      <formula1>"Per run,Per km"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1" customWidth="1" min="5" max="5"/>
    <col width="7" customWidth="1" min="6" max="6"/>
    <col width="24" customWidth="1" min="7" max="7"/>
    <col width="15" customWidth="1" min="8" max="8"/>
    <col width="19" customWidth="1" min="9" max="9"/>
    <col width="8" customWidth="1" min="10" max="10"/>
    <col width="32" customWidth="1" min="11" max="11"/>
    <col hidden="1" width="12" customWidth="1" min="12" max="12"/>
  </cols>
  <sheetData>
    <row r="1">
      <c r="A1" s="5" t="inlineStr">
        <is>
          <t>Bookings</t>
        </is>
      </c>
    </row>
    <row r="2">
      <c r="A2" s="6" t="inlineStr">
        <is>
          <t>The day's bookings. Zone fills itself from the hotel. Put a Run ID in column J once the run exists on the Dispatch board.</t>
        </is>
      </c>
    </row>
    <row r="4" ht="30" customHeight="1">
      <c r="A4" s="7" t="inlineStr">
        <is>
          <t>Booking ref</t>
        </is>
      </c>
      <c r="B4" s="7" t="inlineStr">
        <is>
          <t>Date</t>
        </is>
      </c>
      <c r="C4" s="7" t="inlineStr">
        <is>
          <t>Direction</t>
        </is>
      </c>
      <c r="D4" s="7" t="inlineStr">
        <is>
          <t>Flight</t>
        </is>
      </c>
      <c r="E4" s="7" t="inlineStr">
        <is>
          <t>Sched time</t>
        </is>
      </c>
      <c r="F4" s="7" t="inlineStr">
        <is>
          <t>Pax</t>
        </is>
      </c>
      <c r="G4" s="7" t="inlineStr">
        <is>
          <t>Hotel</t>
        </is>
      </c>
      <c r="H4" s="7" t="inlineStr">
        <is>
          <t>Zone  (auto)</t>
        </is>
      </c>
      <c r="I4" s="7" t="inlineStr">
        <is>
          <t>Agency</t>
        </is>
      </c>
      <c r="J4" s="7" t="inlineStr">
        <is>
          <t>Run</t>
        </is>
      </c>
      <c r="K4" s="7" t="inlineStr">
        <is>
          <t>Notes</t>
        </is>
      </c>
      <c r="L4" s="7" t="inlineStr">
        <is>
          <t>Manifest #  (auto)</t>
        </is>
      </c>
    </row>
    <row r="5">
      <c r="A5" s="8" t="inlineStr">
        <is>
          <t>BK-1041</t>
        </is>
      </c>
      <c r="B5" s="9" t="n">
        <v>46186</v>
      </c>
      <c r="C5" s="8" t="inlineStr">
        <is>
          <t>Arrival</t>
        </is>
      </c>
      <c r="D5" s="8" t="inlineStr">
        <is>
          <t>VG 412</t>
        </is>
      </c>
      <c r="E5" s="10" t="n">
        <v>0.2881944444444444</v>
      </c>
      <c r="F5" s="8" t="n">
        <v>2</v>
      </c>
      <c r="G5" s="8" t="inlineStr">
        <is>
          <t>Hotel Azul Bay</t>
        </is>
      </c>
      <c r="H5" s="11">
        <f>IF($G5="","",IFERROR(VLOOKUP($G5,Zones_Table,2,FALSE),"not in Zones"))</f>
        <v/>
      </c>
      <c r="I5" s="8" t="inlineStr">
        <is>
          <t>Northwind Travel</t>
        </is>
      </c>
      <c r="J5" s="8" t="inlineStr">
        <is>
          <t>R01</t>
        </is>
      </c>
      <c r="K5" s="8" t="inlineStr"/>
      <c r="L5" s="11">
        <f>IF($J5="","",IF($J5=Manifest!$C$4,COUNTIF($J$5:$J5,Manifest!$C$4),""))</f>
        <v/>
      </c>
    </row>
    <row r="6">
      <c r="A6" s="8" t="inlineStr">
        <is>
          <t>BK-1042</t>
        </is>
      </c>
      <c r="B6" s="9" t="n">
        <v>46186</v>
      </c>
      <c r="C6" s="8" t="inlineStr">
        <is>
          <t>Arrival</t>
        </is>
      </c>
      <c r="D6" s="8" t="inlineStr">
        <is>
          <t>VG 412</t>
        </is>
      </c>
      <c r="E6" s="10" t="n">
        <v>0.2881944444444444</v>
      </c>
      <c r="F6" s="8" t="n">
        <v>3</v>
      </c>
      <c r="G6" s="8" t="inlineStr">
        <is>
          <t>Marina Blanca Suites</t>
        </is>
      </c>
      <c r="H6" s="11">
        <f>IF($G6="","",IFERROR(VLOOKUP($G6,Zones_Table,2,FALSE),"not in Zones"))</f>
        <v/>
      </c>
      <c r="I6" s="8" t="inlineStr">
        <is>
          <t>Northwind Travel</t>
        </is>
      </c>
      <c r="J6" s="8" t="inlineStr">
        <is>
          <t>R01</t>
        </is>
      </c>
      <c r="K6" s="8" t="inlineStr"/>
      <c r="L6" s="11">
        <f>IF($J6="","",IF($J6=Manifest!$C$4,COUNTIF($J$5:$J6,Manifest!$C$4),""))</f>
        <v/>
      </c>
    </row>
    <row r="7">
      <c r="A7" s="8" t="inlineStr">
        <is>
          <t>BK-1043</t>
        </is>
      </c>
      <c r="B7" s="9" t="n">
        <v>46186</v>
      </c>
      <c r="C7" s="8" t="inlineStr">
        <is>
          <t>Arrival</t>
        </is>
      </c>
      <c r="D7" s="8" t="inlineStr">
        <is>
          <t>VG 412</t>
        </is>
      </c>
      <c r="E7" s="10" t="n">
        <v>0.2881944444444444</v>
      </c>
      <c r="F7" s="8" t="n">
        <v>2</v>
      </c>
      <c r="G7" s="8" t="inlineStr">
        <is>
          <t>Terrazas del Puerto</t>
        </is>
      </c>
      <c r="H7" s="11">
        <f>IF($G7="","",IFERROR(VLOOKUP($G7,Zones_Table,2,FALSE),"not in Zones"))</f>
        <v/>
      </c>
      <c r="I7" s="8" t="inlineStr">
        <is>
          <t>Atlas Holidays</t>
        </is>
      </c>
      <c r="J7" s="8" t="inlineStr">
        <is>
          <t>R01</t>
        </is>
      </c>
      <c r="K7" s="8" t="inlineStr"/>
      <c r="L7" s="11">
        <f>IF($J7="","",IF($J7=Manifest!$C$4,COUNTIF($J$5:$J7,Manifest!$C$4),""))</f>
        <v/>
      </c>
    </row>
    <row r="8">
      <c r="A8" s="8" t="inlineStr">
        <is>
          <t>BK-1044</t>
        </is>
      </c>
      <c r="B8" s="9" t="n">
        <v>46186</v>
      </c>
      <c r="C8" s="8" t="inlineStr">
        <is>
          <t>Arrival</t>
        </is>
      </c>
      <c r="D8" s="8" t="inlineStr">
        <is>
          <t>KX 188</t>
        </is>
      </c>
      <c r="E8" s="10" t="n">
        <v>0.3194444444444444</v>
      </c>
      <c r="F8" s="8" t="n">
        <v>4</v>
      </c>
      <c r="G8" s="8" t="inlineStr">
        <is>
          <t>Palmera Grand Resort</t>
        </is>
      </c>
      <c r="H8" s="11">
        <f>IF($G8="","",IFERROR(VLOOKUP($G8,Zones_Table,2,FALSE),"not in Zones"))</f>
        <v/>
      </c>
      <c r="I8" s="8" t="inlineStr">
        <is>
          <t>Atlas Holidays</t>
        </is>
      </c>
      <c r="J8" s="8" t="inlineStr">
        <is>
          <t>R02</t>
        </is>
      </c>
      <c r="K8" s="8" t="inlineStr"/>
      <c r="L8" s="11">
        <f>IF($J8="","",IF($J8=Manifest!$C$4,COUNTIF($J$5:$J8,Manifest!$C$4),""))</f>
        <v/>
      </c>
    </row>
    <row r="9">
      <c r="A9" s="8" t="inlineStr">
        <is>
          <t>BK-1045</t>
        </is>
      </c>
      <c r="B9" s="9" t="n">
        <v>46186</v>
      </c>
      <c r="C9" s="8" t="inlineStr">
        <is>
          <t>Arrival</t>
        </is>
      </c>
      <c r="D9" s="8" t="inlineStr">
        <is>
          <t>KX 188</t>
        </is>
      </c>
      <c r="E9" s="10" t="n">
        <v>0.3194444444444444</v>
      </c>
      <c r="F9" s="8" t="n">
        <v>2</v>
      </c>
      <c r="G9" s="8" t="inlineStr">
        <is>
          <t>Hotel Dunas Norte</t>
        </is>
      </c>
      <c r="H9" s="11">
        <f>IF($G9="","",IFERROR(VLOOKUP($G9,Zones_Table,2,FALSE),"not in Zones"))</f>
        <v/>
      </c>
      <c r="I9" s="8" t="inlineStr">
        <is>
          <t>Bluewater Tours</t>
        </is>
      </c>
      <c r="J9" s="8" t="inlineStr">
        <is>
          <t>R02</t>
        </is>
      </c>
      <c r="K9" s="8" t="inlineStr"/>
      <c r="L9" s="11">
        <f>IF($J9="","",IF($J9=Manifest!$C$4,COUNTIF($J$5:$J9,Manifest!$C$4),""))</f>
        <v/>
      </c>
    </row>
    <row r="10">
      <c r="A10" s="8" t="inlineStr">
        <is>
          <t>BK-1046</t>
        </is>
      </c>
      <c r="B10" s="9" t="n">
        <v>46186</v>
      </c>
      <c r="C10" s="8" t="inlineStr">
        <is>
          <t>Arrival</t>
        </is>
      </c>
      <c r="D10" s="8" t="inlineStr">
        <is>
          <t>KX 188</t>
        </is>
      </c>
      <c r="E10" s="10" t="n">
        <v>0.3194444444444444</v>
      </c>
      <c r="F10" s="8" t="n">
        <v>5</v>
      </c>
      <c r="G10" s="8" t="inlineStr">
        <is>
          <t>Bahia Coral Resort</t>
        </is>
      </c>
      <c r="H10" s="11">
        <f>IF($G10="","",IFERROR(VLOOKUP($G10,Zones_Table,2,FALSE),"not in Zones"))</f>
        <v/>
      </c>
      <c r="I10" s="8" t="inlineStr">
        <is>
          <t>Atlas Holidays</t>
        </is>
      </c>
      <c r="J10" s="8" t="inlineStr">
        <is>
          <t>R02</t>
        </is>
      </c>
      <c r="K10" s="8" t="inlineStr">
        <is>
          <t>1 infant seat</t>
        </is>
      </c>
      <c r="L10" s="11">
        <f>IF($J10="","",IF($J10=Manifest!$C$4,COUNTIF($J$5:$J10,Manifest!$C$4),""))</f>
        <v/>
      </c>
    </row>
    <row r="11">
      <c r="A11" s="8" t="inlineStr">
        <is>
          <t>BK-1047</t>
        </is>
      </c>
      <c r="B11" s="9" t="n">
        <v>46186</v>
      </c>
      <c r="C11" s="8" t="inlineStr">
        <is>
          <t>Arrival</t>
        </is>
      </c>
      <c r="D11" s="8" t="inlineStr">
        <is>
          <t>LN 22</t>
        </is>
      </c>
      <c r="E11" s="10" t="n">
        <v>0.3368055555555556</v>
      </c>
      <c r="F11" s="8" t="n">
        <v>3</v>
      </c>
      <c r="G11" s="8" t="inlineStr">
        <is>
          <t>Palmera Grand Resort</t>
        </is>
      </c>
      <c r="H11" s="11">
        <f>IF($G11="","",IFERROR(VLOOKUP($G11,Zones_Table,2,FALSE),"not in Zones"))</f>
        <v/>
      </c>
      <c r="I11" s="8" t="inlineStr">
        <is>
          <t>Direct booking</t>
        </is>
      </c>
      <c r="J11" s="8" t="inlineStr">
        <is>
          <t>R02</t>
        </is>
      </c>
      <c r="K11" s="8" t="inlineStr"/>
      <c r="L11" s="11">
        <f>IF($J11="","",IF($J11=Manifest!$C$4,COUNTIF($J$5:$J11,Manifest!$C$4),""))</f>
        <v/>
      </c>
    </row>
    <row r="12">
      <c r="A12" s="8" t="inlineStr">
        <is>
          <t>BK-1048</t>
        </is>
      </c>
      <c r="B12" s="9" t="n">
        <v>46186</v>
      </c>
      <c r="C12" s="8" t="inlineStr">
        <is>
          <t>Arrival</t>
        </is>
      </c>
      <c r="D12" s="8" t="inlineStr">
        <is>
          <t>LN 22</t>
        </is>
      </c>
      <c r="E12" s="10" t="n">
        <v>0.3368055555555556</v>
      </c>
      <c r="F12" s="8" t="n">
        <v>2</v>
      </c>
      <c r="G12" s="8" t="inlineStr">
        <is>
          <t>Casa del Sol</t>
        </is>
      </c>
      <c r="H12" s="11">
        <f>IF($G12="","",IFERROR(VLOOKUP($G12,Zones_Table,2,FALSE),"not in Zones"))</f>
        <v/>
      </c>
      <c r="I12" s="8" t="inlineStr">
        <is>
          <t>Silverline DMC</t>
        </is>
      </c>
      <c r="J12" s="8" t="inlineStr">
        <is>
          <t>R03</t>
        </is>
      </c>
      <c r="K12" s="8" t="inlineStr">
        <is>
          <t>Private car requested</t>
        </is>
      </c>
      <c r="L12" s="11">
        <f>IF($J12="","",IF($J12=Manifest!$C$4,COUNTIF($J$5:$J12,Manifest!$C$4),""))</f>
        <v/>
      </c>
    </row>
    <row r="13">
      <c r="A13" s="8" t="inlineStr">
        <is>
          <t>BK-1049</t>
        </is>
      </c>
      <c r="B13" s="9" t="n">
        <v>46186</v>
      </c>
      <c r="C13" s="8" t="inlineStr">
        <is>
          <t>Arrival</t>
        </is>
      </c>
      <c r="D13" s="8" t="inlineStr">
        <is>
          <t>VG 906</t>
        </is>
      </c>
      <c r="E13" s="10" t="n">
        <v>0.3993055555555556</v>
      </c>
      <c r="F13" s="8" t="n">
        <v>6</v>
      </c>
      <c r="G13" s="8" t="inlineStr">
        <is>
          <t>Mirador Cliff Hotel</t>
        </is>
      </c>
      <c r="H13" s="11">
        <f>IF($G13="","",IFERROR(VLOOKUP($G13,Zones_Table,2,FALSE),"not in Zones"))</f>
        <v/>
      </c>
      <c r="I13" s="8" t="inlineStr">
        <is>
          <t>Northwind Travel</t>
        </is>
      </c>
      <c r="J13" s="8" t="inlineStr">
        <is>
          <t>R04</t>
        </is>
      </c>
      <c r="K13" s="8" t="inlineStr"/>
      <c r="L13" s="11">
        <f>IF($J13="","",IF($J13=Manifest!$C$4,COUNTIF($J$5:$J13,Manifest!$C$4),""))</f>
        <v/>
      </c>
    </row>
    <row r="14">
      <c r="A14" s="8" t="inlineStr">
        <is>
          <t>BK-1050</t>
        </is>
      </c>
      <c r="B14" s="9" t="n">
        <v>46186</v>
      </c>
      <c r="C14" s="8" t="inlineStr">
        <is>
          <t>Arrival</t>
        </is>
      </c>
      <c r="D14" s="8" t="inlineStr">
        <is>
          <t>VG 906</t>
        </is>
      </c>
      <c r="E14" s="10" t="n">
        <v>0.3993055555555556</v>
      </c>
      <c r="F14" s="8" t="n">
        <v>4</v>
      </c>
      <c r="G14" s="8" t="inlineStr">
        <is>
          <t>Villa Sereno</t>
        </is>
      </c>
      <c r="H14" s="11">
        <f>IF($G14="","",IFERROR(VLOOKUP($G14,Zones_Table,2,FALSE),"not in Zones"))</f>
        <v/>
      </c>
      <c r="I14" s="8" t="inlineStr">
        <is>
          <t>Northwind Travel</t>
        </is>
      </c>
      <c r="J14" s="8" t="inlineStr">
        <is>
          <t>R04</t>
        </is>
      </c>
      <c r="K14" s="8" t="inlineStr"/>
      <c r="L14" s="11">
        <f>IF($J14="","",IF($J14=Manifest!$C$4,COUNTIF($J$5:$J14,Manifest!$C$4),""))</f>
        <v/>
      </c>
    </row>
    <row r="15">
      <c r="A15" s="8" t="inlineStr">
        <is>
          <t>BK-1051</t>
        </is>
      </c>
      <c r="B15" s="9" t="n">
        <v>46186</v>
      </c>
      <c r="C15" s="8" t="inlineStr">
        <is>
          <t>Arrival</t>
        </is>
      </c>
      <c r="D15" s="8" t="inlineStr">
        <is>
          <t>ZR 71</t>
        </is>
      </c>
      <c r="E15" s="10" t="n">
        <v>0.4097222222222222</v>
      </c>
      <c r="F15" s="8" t="n">
        <v>2</v>
      </c>
      <c r="G15" s="8" t="inlineStr">
        <is>
          <t>Aparthotel Verdemar</t>
        </is>
      </c>
      <c r="H15" s="11">
        <f>IF($G15="","",IFERROR(VLOOKUP($G15,Zones_Table,2,FALSE),"not in Zones"))</f>
        <v/>
      </c>
      <c r="I15" s="8" t="inlineStr">
        <is>
          <t>Bluewater Tours</t>
        </is>
      </c>
      <c r="J15" s="8" t="inlineStr">
        <is>
          <t>R04</t>
        </is>
      </c>
      <c r="K15" s="8" t="inlineStr"/>
      <c r="L15" s="11">
        <f>IF($J15="","",IF($J15=Manifest!$C$4,COUNTIF($J$5:$J15,Manifest!$C$4),""))</f>
        <v/>
      </c>
    </row>
    <row r="16">
      <c r="A16" s="8" t="inlineStr">
        <is>
          <t>BK-1052</t>
        </is>
      </c>
      <c r="B16" s="9" t="n">
        <v>46186</v>
      </c>
      <c r="C16" s="8" t="inlineStr">
        <is>
          <t>Arrival</t>
        </is>
      </c>
      <c r="D16" s="8" t="inlineStr">
        <is>
          <t>ZR 71</t>
        </is>
      </c>
      <c r="E16" s="10" t="n">
        <v>0.4097222222222222</v>
      </c>
      <c r="F16" s="8" t="n">
        <v>4</v>
      </c>
      <c r="G16" s="8" t="inlineStr">
        <is>
          <t>Hotel Azul Bay</t>
        </is>
      </c>
      <c r="H16" s="11">
        <f>IF($G16="","",IFERROR(VLOOKUP($G16,Zones_Table,2,FALSE),"not in Zones"))</f>
        <v/>
      </c>
      <c r="I16" s="8" t="inlineStr">
        <is>
          <t>Atlas Holidays</t>
        </is>
      </c>
      <c r="J16" s="8" t="inlineStr">
        <is>
          <t>R05</t>
        </is>
      </c>
      <c r="K16" s="8" t="inlineStr"/>
      <c r="L16" s="11">
        <f>IF($J16="","",IF($J16=Manifest!$C$4,COUNTIF($J$5:$J16,Manifest!$C$4),""))</f>
        <v/>
      </c>
    </row>
    <row r="17">
      <c r="A17" s="8" t="inlineStr">
        <is>
          <t>BK-1053</t>
        </is>
      </c>
      <c r="B17" s="9" t="n">
        <v>46186</v>
      </c>
      <c r="C17" s="8" t="inlineStr">
        <is>
          <t>Arrival</t>
        </is>
      </c>
      <c r="D17" s="8" t="inlineStr">
        <is>
          <t>ZR 71</t>
        </is>
      </c>
      <c r="E17" s="10" t="n">
        <v>0.4097222222222222</v>
      </c>
      <c r="F17" s="8" t="n">
        <v>2</v>
      </c>
      <c r="G17" s="8" t="inlineStr">
        <is>
          <t>Marina Blanca Suites</t>
        </is>
      </c>
      <c r="H17" s="11">
        <f>IF($G17="","",IFERROR(VLOOKUP($G17,Zones_Table,2,FALSE),"not in Zones"))</f>
        <v/>
      </c>
      <c r="I17" s="8" t="inlineStr">
        <is>
          <t>Atlas Holidays</t>
        </is>
      </c>
      <c r="J17" s="8" t="inlineStr">
        <is>
          <t>R05</t>
        </is>
      </c>
      <c r="K17" s="8" t="inlineStr"/>
      <c r="L17" s="11">
        <f>IF($J17="","",IF($J17=Manifest!$C$4,COUNTIF($J$5:$J17,Manifest!$C$4),""))</f>
        <v/>
      </c>
    </row>
    <row r="18">
      <c r="A18" s="8" t="inlineStr">
        <is>
          <t>BK-1054</t>
        </is>
      </c>
      <c r="B18" s="9" t="n">
        <v>46186</v>
      </c>
      <c r="C18" s="8" t="inlineStr">
        <is>
          <t>Arrival</t>
        </is>
      </c>
      <c r="D18" s="8" t="inlineStr">
        <is>
          <t>KX 340</t>
        </is>
      </c>
      <c r="E18" s="10" t="n">
        <v>0.4548611111111111</v>
      </c>
      <c r="F18" s="8" t="n">
        <v>4</v>
      </c>
      <c r="G18" s="8" t="inlineStr">
        <is>
          <t>Terrazas del Puerto</t>
        </is>
      </c>
      <c r="H18" s="11">
        <f>IF($G18="","",IFERROR(VLOOKUP($G18,Zones_Table,2,FALSE),"not in Zones"))</f>
        <v/>
      </c>
      <c r="I18" s="8" t="inlineStr">
        <is>
          <t>Bluewater Tours</t>
        </is>
      </c>
      <c r="J18" s="8" t="inlineStr">
        <is>
          <t>R05</t>
        </is>
      </c>
      <c r="K18" s="8" t="inlineStr">
        <is>
          <t>Added after the board was built</t>
        </is>
      </c>
      <c r="L18" s="11">
        <f>IF($J18="","",IF($J18=Manifest!$C$4,COUNTIF($J$5:$J18,Manifest!$C$4),""))</f>
        <v/>
      </c>
    </row>
    <row r="19">
      <c r="A19" s="8" t="inlineStr">
        <is>
          <t>BK-1055</t>
        </is>
      </c>
      <c r="B19" s="9" t="n">
        <v>46186</v>
      </c>
      <c r="C19" s="8" t="inlineStr">
        <is>
          <t>Arrival</t>
        </is>
      </c>
      <c r="D19" s="8" t="inlineStr">
        <is>
          <t>KX 340</t>
        </is>
      </c>
      <c r="E19" s="10" t="n">
        <v>0.4548611111111111</v>
      </c>
      <c r="F19" s="8" t="n">
        <v>18</v>
      </c>
      <c r="G19" s="8" t="inlineStr">
        <is>
          <t>Palmera Grand Resort</t>
        </is>
      </c>
      <c r="H19" s="11">
        <f>IF($G19="","",IFERROR(VLOOKUP($G19,Zones_Table,2,FALSE),"not in Zones"))</f>
        <v/>
      </c>
      <c r="I19" s="8" t="inlineStr">
        <is>
          <t>Silverline DMC</t>
        </is>
      </c>
      <c r="J19" s="8" t="inlineStr">
        <is>
          <t>R06</t>
        </is>
      </c>
      <c r="K19" s="8" t="inlineStr">
        <is>
          <t>Group - Silverline incentive</t>
        </is>
      </c>
      <c r="L19" s="11">
        <f>IF($J19="","",IF($J19=Manifest!$C$4,COUNTIF($J$5:$J19,Manifest!$C$4),""))</f>
        <v/>
      </c>
    </row>
    <row r="20">
      <c r="A20" s="8" t="inlineStr">
        <is>
          <t>BK-1056</t>
        </is>
      </c>
      <c r="B20" s="9" t="n">
        <v>46186</v>
      </c>
      <c r="C20" s="8" t="inlineStr">
        <is>
          <t>Arrival</t>
        </is>
      </c>
      <c r="D20" s="8" t="inlineStr">
        <is>
          <t>KX 340</t>
        </is>
      </c>
      <c r="E20" s="10" t="n">
        <v>0.4548611111111111</v>
      </c>
      <c r="F20" s="8" t="n">
        <v>12</v>
      </c>
      <c r="G20" s="8" t="inlineStr">
        <is>
          <t>Bahia Coral Resort</t>
        </is>
      </c>
      <c r="H20" s="11">
        <f>IF($G20="","",IFERROR(VLOOKUP($G20,Zones_Table,2,FALSE),"not in Zones"))</f>
        <v/>
      </c>
      <c r="I20" s="8" t="inlineStr">
        <is>
          <t>Silverline DMC</t>
        </is>
      </c>
      <c r="J20" s="8" t="inlineStr">
        <is>
          <t>R06</t>
        </is>
      </c>
      <c r="K20" s="8" t="inlineStr">
        <is>
          <t>Group - Silverline incentive</t>
        </is>
      </c>
      <c r="L20" s="11">
        <f>IF($J20="","",IF($J20=Manifest!$C$4,COUNTIF($J$5:$J20,Manifest!$C$4),""))</f>
        <v/>
      </c>
    </row>
    <row r="21">
      <c r="A21" s="8" t="inlineStr">
        <is>
          <t>BK-1057</t>
        </is>
      </c>
      <c r="B21" s="9" t="n">
        <v>46186</v>
      </c>
      <c r="C21" s="8" t="inlineStr">
        <is>
          <t>Arrival</t>
        </is>
      </c>
      <c r="D21" s="8" t="inlineStr">
        <is>
          <t>VG 418</t>
        </is>
      </c>
      <c r="E21" s="10" t="n">
        <v>0.5069444444444444</v>
      </c>
      <c r="F21" s="8" t="n">
        <v>9</v>
      </c>
      <c r="G21" s="8" t="inlineStr">
        <is>
          <t>Hotel Dunas Norte</t>
        </is>
      </c>
      <c r="H21" s="11">
        <f>IF($G21="","",IFERROR(VLOOKUP($G21,Zones_Table,2,FALSE),"not in Zones"))</f>
        <v/>
      </c>
      <c r="I21" s="8" t="inlineStr">
        <is>
          <t>Silverline DMC</t>
        </is>
      </c>
      <c r="J21" s="8" t="inlineStr">
        <is>
          <t>R06</t>
        </is>
      </c>
      <c r="K21" s="8" t="inlineStr">
        <is>
          <t>Group - Silverline incentive</t>
        </is>
      </c>
      <c r="L21" s="11">
        <f>IF($J21="","",IF($J21=Manifest!$C$4,COUNTIF($J$5:$J21,Manifest!$C$4),""))</f>
        <v/>
      </c>
    </row>
    <row r="22">
      <c r="A22" s="8" t="inlineStr">
        <is>
          <t>BK-1058</t>
        </is>
      </c>
      <c r="B22" s="9" t="n">
        <v>46186</v>
      </c>
      <c r="C22" s="8" t="inlineStr">
        <is>
          <t>Departure</t>
        </is>
      </c>
      <c r="D22" s="8" t="inlineStr">
        <is>
          <t>VG 413</t>
        </is>
      </c>
      <c r="E22" s="10" t="n">
        <v>0.6979166666666666</v>
      </c>
      <c r="F22" s="8" t="n">
        <v>5</v>
      </c>
      <c r="G22" s="8" t="inlineStr">
        <is>
          <t>Mirador Cliff Hotel</t>
        </is>
      </c>
      <c r="H22" s="11">
        <f>IF($G22="","",IFERROR(VLOOKUP($G22,Zones_Table,2,FALSE),"not in Zones"))</f>
        <v/>
      </c>
      <c r="I22" s="8" t="inlineStr">
        <is>
          <t>Northwind Travel</t>
        </is>
      </c>
      <c r="J22" s="8" t="inlineStr">
        <is>
          <t>R07</t>
        </is>
      </c>
      <c r="K22" s="8" t="inlineStr"/>
      <c r="L22" s="11">
        <f>IF($J22="","",IF($J22=Manifest!$C$4,COUNTIF($J$5:$J22,Manifest!$C$4),""))</f>
        <v/>
      </c>
    </row>
    <row r="23">
      <c r="A23" s="8" t="inlineStr">
        <is>
          <t>BK-1059</t>
        </is>
      </c>
      <c r="B23" s="9" t="n">
        <v>46186</v>
      </c>
      <c r="C23" s="8" t="inlineStr">
        <is>
          <t>Departure</t>
        </is>
      </c>
      <c r="D23" s="8" t="inlineStr">
        <is>
          <t>VG 413</t>
        </is>
      </c>
      <c r="E23" s="10" t="n">
        <v>0.6979166666666666</v>
      </c>
      <c r="F23" s="8" t="n">
        <v>2</v>
      </c>
      <c r="G23" s="8" t="inlineStr">
        <is>
          <t>Villa Sereno</t>
        </is>
      </c>
      <c r="H23" s="11">
        <f>IF($G23="","",IFERROR(VLOOKUP($G23,Zones_Table,2,FALSE),"not in Zones"))</f>
        <v/>
      </c>
      <c r="I23" s="8" t="inlineStr">
        <is>
          <t>Northwind Travel</t>
        </is>
      </c>
      <c r="J23" s="8" t="inlineStr">
        <is>
          <t>R07</t>
        </is>
      </c>
      <c r="K23" s="8" t="inlineStr"/>
      <c r="L23" s="11">
        <f>IF($J23="","",IF($J23=Manifest!$C$4,COUNTIF($J$5:$J23,Manifest!$C$4),""))</f>
        <v/>
      </c>
    </row>
    <row r="24">
      <c r="A24" s="8" t="inlineStr">
        <is>
          <t>BK-1060</t>
        </is>
      </c>
      <c r="B24" s="9" t="n">
        <v>46186</v>
      </c>
      <c r="C24" s="8" t="inlineStr">
        <is>
          <t>Departure</t>
        </is>
      </c>
      <c r="D24" s="8" t="inlineStr">
        <is>
          <t>VG 413</t>
        </is>
      </c>
      <c r="E24" s="10" t="n">
        <v>0.6979166666666666</v>
      </c>
      <c r="F24" s="8" t="n">
        <v>4</v>
      </c>
      <c r="G24" s="8" t="inlineStr">
        <is>
          <t>Aparthotel Verdemar</t>
        </is>
      </c>
      <c r="H24" s="11">
        <f>IF($G24="","",IFERROR(VLOOKUP($G24,Zones_Table,2,FALSE),"not in Zones"))</f>
        <v/>
      </c>
      <c r="I24" s="8" t="inlineStr">
        <is>
          <t>Bluewater Tours</t>
        </is>
      </c>
      <c r="J24" s="8" t="inlineStr">
        <is>
          <t>R07</t>
        </is>
      </c>
      <c r="K24" s="8" t="inlineStr"/>
      <c r="L24" s="11">
        <f>IF($J24="","",IF($J24=Manifest!$C$4,COUNTIF($J$5:$J24,Manifest!$C$4),""))</f>
        <v/>
      </c>
    </row>
    <row r="25">
      <c r="A25" s="8" t="inlineStr">
        <is>
          <t>BK-1061</t>
        </is>
      </c>
      <c r="B25" s="9" t="n">
        <v>46186</v>
      </c>
      <c r="C25" s="8" t="inlineStr">
        <is>
          <t>Departure</t>
        </is>
      </c>
      <c r="D25" s="8" t="inlineStr">
        <is>
          <t>KX 189</t>
        </is>
      </c>
      <c r="E25" s="10" t="n">
        <v>0.7222222222222222</v>
      </c>
      <c r="F25" s="8" t="n">
        <v>3</v>
      </c>
      <c r="G25" s="8" t="inlineStr">
        <is>
          <t>Hotel Azul Bay</t>
        </is>
      </c>
      <c r="H25" s="11">
        <f>IF($G25="","",IFERROR(VLOOKUP($G25,Zones_Table,2,FALSE),"not in Zones"))</f>
        <v/>
      </c>
      <c r="I25" s="8" t="inlineStr">
        <is>
          <t>Atlas Holidays</t>
        </is>
      </c>
      <c r="J25" s="8" t="inlineStr">
        <is>
          <t>R08</t>
        </is>
      </c>
      <c r="K25" s="8" t="inlineStr"/>
      <c r="L25" s="11">
        <f>IF($J25="","",IF($J25=Manifest!$C$4,COUNTIF($J$5:$J25,Manifest!$C$4),""))</f>
        <v/>
      </c>
    </row>
    <row r="26">
      <c r="A26" s="8" t="inlineStr">
        <is>
          <t>BK-1062</t>
        </is>
      </c>
      <c r="B26" s="9" t="n">
        <v>46186</v>
      </c>
      <c r="C26" s="8" t="inlineStr">
        <is>
          <t>Departure</t>
        </is>
      </c>
      <c r="D26" s="8" t="inlineStr">
        <is>
          <t>KX 189</t>
        </is>
      </c>
      <c r="E26" s="10" t="n">
        <v>0.7222222222222222</v>
      </c>
      <c r="F26" s="8" t="n">
        <v>2</v>
      </c>
      <c r="G26" s="8" t="inlineStr">
        <is>
          <t>Terrazas del Puerto</t>
        </is>
      </c>
      <c r="H26" s="11">
        <f>IF($G26="","",IFERROR(VLOOKUP($G26,Zones_Table,2,FALSE),"not in Zones"))</f>
        <v/>
      </c>
      <c r="I26" s="8" t="inlineStr">
        <is>
          <t>Atlas Holidays</t>
        </is>
      </c>
      <c r="J26" s="8" t="inlineStr">
        <is>
          <t>R08</t>
        </is>
      </c>
      <c r="K26" s="8" t="inlineStr"/>
      <c r="L26" s="11">
        <f>IF($J26="","",IF($J26=Manifest!$C$4,COUNTIF($J$5:$J26,Manifest!$C$4),""))</f>
        <v/>
      </c>
    </row>
    <row r="27">
      <c r="A27" s="8" t="inlineStr">
        <is>
          <t>BK-1063</t>
        </is>
      </c>
      <c r="B27" s="9" t="n">
        <v>46186</v>
      </c>
      <c r="C27" s="8" t="inlineStr">
        <is>
          <t>Departure</t>
        </is>
      </c>
      <c r="D27" s="8" t="inlineStr">
        <is>
          <t>KX 189</t>
        </is>
      </c>
      <c r="E27" s="10" t="n">
        <v>0.7222222222222222</v>
      </c>
      <c r="F27" s="8" t="n">
        <v>2</v>
      </c>
      <c r="G27" s="8" t="inlineStr">
        <is>
          <t>Casa del Sol</t>
        </is>
      </c>
      <c r="H27" s="11">
        <f>IF($G27="","",IFERROR(VLOOKUP($G27,Zones_Table,2,FALSE),"not in Zones"))</f>
        <v/>
      </c>
      <c r="I27" s="8" t="inlineStr">
        <is>
          <t>Silverline DMC</t>
        </is>
      </c>
      <c r="J27" s="8" t="inlineStr">
        <is>
          <t>R09</t>
        </is>
      </c>
      <c r="K27" s="8" t="inlineStr"/>
      <c r="L27" s="11">
        <f>IF($J27="","",IF($J27=Manifest!$C$4,COUNTIF($J$5:$J27,Manifest!$C$4),""))</f>
        <v/>
      </c>
    </row>
    <row r="28">
      <c r="A28" s="8" t="inlineStr">
        <is>
          <t>BK-1064</t>
        </is>
      </c>
      <c r="B28" s="9" t="n">
        <v>46186</v>
      </c>
      <c r="C28" s="8" t="inlineStr">
        <is>
          <t>Departure</t>
        </is>
      </c>
      <c r="D28" s="8" t="inlineStr">
        <is>
          <t>LN 23</t>
        </is>
      </c>
      <c r="E28" s="10" t="n">
        <v>0.7534722222222222</v>
      </c>
      <c r="F28" s="8" t="n">
        <v>4</v>
      </c>
      <c r="G28" s="8" t="inlineStr">
        <is>
          <t>Hostal Camino Viejo</t>
        </is>
      </c>
      <c r="H28" s="11">
        <f>IF($G28="","",IFERROR(VLOOKUP($G28,Zones_Table,2,FALSE),"not in Zones"))</f>
        <v/>
      </c>
      <c r="I28" s="8" t="inlineStr">
        <is>
          <t>Direct booking</t>
        </is>
      </c>
      <c r="J28" s="8" t="inlineStr">
        <is>
          <t>R09</t>
        </is>
      </c>
      <c r="K28" s="8" t="inlineStr"/>
      <c r="L28" s="11">
        <f>IF($J28="","",IF($J28=Manifest!$C$4,COUNTIF($J$5:$J28,Manifest!$C$4),""))</f>
        <v/>
      </c>
    </row>
    <row r="29">
      <c r="A29" s="8" t="inlineStr">
        <is>
          <t>BK-1065</t>
        </is>
      </c>
      <c r="B29" s="9" t="n">
        <v>46186</v>
      </c>
      <c r="C29" s="8" t="inlineStr">
        <is>
          <t>Departure</t>
        </is>
      </c>
      <c r="D29" s="8" t="inlineStr">
        <is>
          <t>LN 23</t>
        </is>
      </c>
      <c r="E29" s="10" t="n">
        <v>0.7534722222222222</v>
      </c>
      <c r="F29" s="8" t="n">
        <v>6</v>
      </c>
      <c r="G29" s="8" t="inlineStr">
        <is>
          <t>Palmera Grand Resort</t>
        </is>
      </c>
      <c r="H29" s="11">
        <f>IF($G29="","",IFERROR(VLOOKUP($G29,Zones_Table,2,FALSE),"not in Zones"))</f>
        <v/>
      </c>
      <c r="I29" s="8" t="inlineStr">
        <is>
          <t>Bluewater Tours</t>
        </is>
      </c>
      <c r="J29" s="8" t="inlineStr">
        <is>
          <t>R10</t>
        </is>
      </c>
      <c r="K29" s="8" t="inlineStr"/>
      <c r="L29" s="11">
        <f>IF($J29="","",IF($J29=Manifest!$C$4,COUNTIF($J$5:$J29,Manifest!$C$4),""))</f>
        <v/>
      </c>
    </row>
    <row r="30">
      <c r="A30" s="8" t="inlineStr">
        <is>
          <t>BK-1066</t>
        </is>
      </c>
      <c r="B30" s="9" t="n">
        <v>46186</v>
      </c>
      <c r="C30" s="8" t="inlineStr">
        <is>
          <t>Departure</t>
        </is>
      </c>
      <c r="D30" s="8" t="inlineStr">
        <is>
          <t>LN 23</t>
        </is>
      </c>
      <c r="E30" s="10" t="n">
        <v>0.7534722222222222</v>
      </c>
      <c r="F30" s="8" t="n">
        <v>3</v>
      </c>
      <c r="G30" s="8" t="inlineStr">
        <is>
          <t>Bahia Coral Resort</t>
        </is>
      </c>
      <c r="H30" s="11">
        <f>IF($G30="","",IFERROR(VLOOKUP($G30,Zones_Table,2,FALSE),"not in Zones"))</f>
        <v/>
      </c>
      <c r="I30" s="8" t="inlineStr">
        <is>
          <t>Bluewater Tours</t>
        </is>
      </c>
      <c r="J30" s="8" t="inlineStr">
        <is>
          <t>R10</t>
        </is>
      </c>
      <c r="K30" s="8" t="inlineStr"/>
      <c r="L30" s="11">
        <f>IF($J30="","",IF($J30=Manifest!$C$4,COUNTIF($J$5:$J30,Manifest!$C$4),""))</f>
        <v/>
      </c>
    </row>
    <row r="31">
      <c r="A31" s="8" t="inlineStr">
        <is>
          <t>BK-1067</t>
        </is>
      </c>
      <c r="B31" s="9" t="n">
        <v>46186</v>
      </c>
      <c r="C31" s="8" t="inlineStr">
        <is>
          <t>Departure</t>
        </is>
      </c>
      <c r="D31" s="8" t="inlineStr">
        <is>
          <t>ZR 72</t>
        </is>
      </c>
      <c r="E31" s="10" t="n">
        <v>0.8020833333333334</v>
      </c>
      <c r="F31" s="8" t="n">
        <v>4</v>
      </c>
      <c r="G31" s="8" t="inlineStr">
        <is>
          <t>Hotel Dunas Norte</t>
        </is>
      </c>
      <c r="H31" s="11">
        <f>IF($G31="","",IFERROR(VLOOKUP($G31,Zones_Table,2,FALSE),"not in Zones"))</f>
        <v/>
      </c>
      <c r="I31" s="8" t="inlineStr">
        <is>
          <t>Northwind Travel</t>
        </is>
      </c>
      <c r="J31" s="8" t="inlineStr">
        <is>
          <t>R10</t>
        </is>
      </c>
      <c r="K31" s="8" t="inlineStr"/>
      <c r="L31" s="11">
        <f>IF($J31="","",IF($J31=Manifest!$C$4,COUNTIF($J$5:$J31,Manifest!$C$4),""))</f>
        <v/>
      </c>
    </row>
    <row r="32">
      <c r="A32" s="8" t="inlineStr">
        <is>
          <t>BK-1068</t>
        </is>
      </c>
      <c r="B32" s="9" t="n">
        <v>46186</v>
      </c>
      <c r="C32" s="8" t="inlineStr">
        <is>
          <t>Departure</t>
        </is>
      </c>
      <c r="D32" s="8" t="inlineStr">
        <is>
          <t>ZR 72</t>
        </is>
      </c>
      <c r="E32" s="10" t="n">
        <v>0.8020833333333334</v>
      </c>
      <c r="F32" s="8" t="n">
        <v>11</v>
      </c>
      <c r="G32" s="8" t="inlineStr">
        <is>
          <t>Villa Sereno</t>
        </is>
      </c>
      <c r="H32" s="11">
        <f>IF($G32="","",IFERROR(VLOOKUP($G32,Zones_Table,2,FALSE),"not in Zones"))</f>
        <v/>
      </c>
      <c r="I32" s="8" t="inlineStr">
        <is>
          <t>Silverline DMC</t>
        </is>
      </c>
      <c r="J32" s="8" t="inlineStr">
        <is>
          <t>R11</t>
        </is>
      </c>
      <c r="K32" s="8" t="inlineStr"/>
      <c r="L32" s="11">
        <f>IF($J32="","",IF($J32=Manifest!$C$4,COUNTIF($J$5:$J32,Manifest!$C$4),""))</f>
        <v/>
      </c>
    </row>
    <row r="33">
      <c r="A33" s="8" t="inlineStr">
        <is>
          <t>BK-1069</t>
        </is>
      </c>
      <c r="B33" s="9" t="n">
        <v>46186</v>
      </c>
      <c r="C33" s="8" t="inlineStr">
        <is>
          <t>Departure</t>
        </is>
      </c>
      <c r="D33" s="8" t="inlineStr">
        <is>
          <t>ZR 72</t>
        </is>
      </c>
      <c r="E33" s="10" t="n">
        <v>0.8020833333333334</v>
      </c>
      <c r="F33" s="8" t="n">
        <v>5</v>
      </c>
      <c r="G33" s="8" t="inlineStr">
        <is>
          <t>Mirador Cliff Hotel</t>
        </is>
      </c>
      <c r="H33" s="11">
        <f>IF($G33="","",IFERROR(VLOOKUP($G33,Zones_Table,2,FALSE),"not in Zones"))</f>
        <v/>
      </c>
      <c r="I33" s="8" t="inlineStr">
        <is>
          <t>Silverline DMC</t>
        </is>
      </c>
      <c r="J33" s="8" t="inlineStr">
        <is>
          <t>R11</t>
        </is>
      </c>
      <c r="K33" s="8" t="inlineStr"/>
      <c r="L33" s="11">
        <f>IF($J33="","",IF($J33=Manifest!$C$4,COUNTIF($J$5:$J33,Manifest!$C$4),""))</f>
        <v/>
      </c>
    </row>
    <row r="34">
      <c r="A34" s="8" t="inlineStr">
        <is>
          <t>BK-1070</t>
        </is>
      </c>
      <c r="B34" s="9" t="n">
        <v>46186</v>
      </c>
      <c r="C34" s="8" t="inlineStr">
        <is>
          <t>Departure</t>
        </is>
      </c>
      <c r="D34" s="8" t="inlineStr">
        <is>
          <t>VG 990</t>
        </is>
      </c>
      <c r="E34" s="10" t="n">
        <v>0.8958333333333334</v>
      </c>
      <c r="F34" s="8" t="n">
        <v>3</v>
      </c>
      <c r="G34" s="8" t="inlineStr">
        <is>
          <t>Marina Blanca Suites</t>
        </is>
      </c>
      <c r="H34" s="11">
        <f>IF($G34="","",IFERROR(VLOOKUP($G34,Zones_Table,2,FALSE),"not in Zones"))</f>
        <v/>
      </c>
      <c r="I34" s="8" t="inlineStr">
        <is>
          <t>Direct booking</t>
        </is>
      </c>
      <c r="J34" s="8" t="inlineStr">
        <is>
          <t>R12</t>
        </is>
      </c>
      <c r="K34" s="8" t="inlineStr"/>
      <c r="L34" s="11">
        <f>IF($J34="","",IF($J34=Manifest!$C$4,COUNTIF($J$5:$J34,Manifest!$C$4),""))</f>
        <v/>
      </c>
    </row>
    <row r="35">
      <c r="A35" s="8" t="inlineStr">
        <is>
          <t>BK-1071</t>
        </is>
      </c>
      <c r="B35" s="9" t="n">
        <v>46186</v>
      </c>
      <c r="C35" s="8" t="inlineStr">
        <is>
          <t>Departure</t>
        </is>
      </c>
      <c r="D35" s="8" t="inlineStr">
        <is>
          <t>VG 990</t>
        </is>
      </c>
      <c r="E35" s="10" t="n">
        <v>0.8958333333333334</v>
      </c>
      <c r="F35" s="8" t="n">
        <v>2</v>
      </c>
      <c r="G35" s="8" t="inlineStr">
        <is>
          <t>Hotel Azul Bay</t>
        </is>
      </c>
      <c r="H35" s="11">
        <f>IF($G35="","",IFERROR(VLOOKUP($G35,Zones_Table,2,FALSE),"not in Zones"))</f>
        <v/>
      </c>
      <c r="I35" s="8" t="inlineStr">
        <is>
          <t>Atlas Holidays</t>
        </is>
      </c>
      <c r="J35" s="8" t="inlineStr">
        <is>
          <t>R12</t>
        </is>
      </c>
      <c r="K35" s="8" t="inlineStr"/>
      <c r="L35" s="11">
        <f>IF($J35="","",IF($J35=Manifest!$C$4,COUNTIF($J$5:$J35,Manifest!$C$4),""))</f>
        <v/>
      </c>
    </row>
    <row r="36">
      <c r="A36" s="8" t="n"/>
      <c r="B36" s="9" t="n"/>
      <c r="C36" s="8" t="n"/>
      <c r="D36" s="8" t="n"/>
      <c r="E36" s="10" t="n"/>
      <c r="F36" s="8" t="n"/>
      <c r="G36" s="8" t="n"/>
      <c r="H36" s="11">
        <f>IF($G36="","",IFERROR(VLOOKUP($G36,Zones_Table,2,FALSE),"not in Zones"))</f>
        <v/>
      </c>
      <c r="I36" s="8" t="n"/>
      <c r="J36" s="8" t="n"/>
      <c r="K36" s="8" t="n"/>
      <c r="L36" s="11">
        <f>IF($J36="","",IF($J36=Manifest!$C$4,COUNTIF($J$5:$J36,Manifest!$C$4),""))</f>
        <v/>
      </c>
    </row>
    <row r="37">
      <c r="A37" s="8" t="n"/>
      <c r="B37" s="9" t="n"/>
      <c r="C37" s="8" t="n"/>
      <c r="D37" s="8" t="n"/>
      <c r="E37" s="10" t="n"/>
      <c r="F37" s="8" t="n"/>
      <c r="G37" s="8" t="n"/>
      <c r="H37" s="11">
        <f>IF($G37="","",IFERROR(VLOOKUP($G37,Zones_Table,2,FALSE),"not in Zones"))</f>
        <v/>
      </c>
      <c r="I37" s="8" t="n"/>
      <c r="J37" s="8" t="n"/>
      <c r="K37" s="8" t="n"/>
      <c r="L37" s="11">
        <f>IF($J37="","",IF($J37=Manifest!$C$4,COUNTIF($J$5:$J37,Manifest!$C$4),""))</f>
        <v/>
      </c>
    </row>
    <row r="38">
      <c r="A38" s="8" t="n"/>
      <c r="B38" s="9" t="n"/>
      <c r="C38" s="8" t="n"/>
      <c r="D38" s="8" t="n"/>
      <c r="E38" s="10" t="n"/>
      <c r="F38" s="8" t="n"/>
      <c r="G38" s="8" t="n"/>
      <c r="H38" s="11">
        <f>IF($G38="","",IFERROR(VLOOKUP($G38,Zones_Table,2,FALSE),"not in Zones"))</f>
        <v/>
      </c>
      <c r="I38" s="8" t="n"/>
      <c r="J38" s="8" t="n"/>
      <c r="K38" s="8" t="n"/>
      <c r="L38" s="11">
        <f>IF($J38="","",IF($J38=Manifest!$C$4,COUNTIF($J$5:$J38,Manifest!$C$4),""))</f>
        <v/>
      </c>
    </row>
    <row r="39">
      <c r="A39" s="8" t="n"/>
      <c r="B39" s="9" t="n"/>
      <c r="C39" s="8" t="n"/>
      <c r="D39" s="8" t="n"/>
      <c r="E39" s="10" t="n"/>
      <c r="F39" s="8" t="n"/>
      <c r="G39" s="8" t="n"/>
      <c r="H39" s="11">
        <f>IF($G39="","",IFERROR(VLOOKUP($G39,Zones_Table,2,FALSE),"not in Zones"))</f>
        <v/>
      </c>
      <c r="I39" s="8" t="n"/>
      <c r="J39" s="8" t="n"/>
      <c r="K39" s="8" t="n"/>
      <c r="L39" s="11">
        <f>IF($J39="","",IF($J39=Manifest!$C$4,COUNTIF($J$5:$J39,Manifest!$C$4),""))</f>
        <v/>
      </c>
    </row>
    <row r="40">
      <c r="A40" s="8" t="n"/>
      <c r="B40" s="9" t="n"/>
      <c r="C40" s="8" t="n"/>
      <c r="D40" s="8" t="n"/>
      <c r="E40" s="10" t="n"/>
      <c r="F40" s="8" t="n"/>
      <c r="G40" s="8" t="n"/>
      <c r="H40" s="11">
        <f>IF($G40="","",IFERROR(VLOOKUP($G40,Zones_Table,2,FALSE),"not in Zones"))</f>
        <v/>
      </c>
      <c r="I40" s="8" t="n"/>
      <c r="J40" s="8" t="n"/>
      <c r="K40" s="8" t="n"/>
      <c r="L40" s="11">
        <f>IF($J40="","",IF($J40=Manifest!$C$4,COUNTIF($J$5:$J40,Manifest!$C$4),""))</f>
        <v/>
      </c>
    </row>
    <row r="41">
      <c r="A41" s="8" t="n"/>
      <c r="B41" s="9" t="n"/>
      <c r="C41" s="8" t="n"/>
      <c r="D41" s="8" t="n"/>
      <c r="E41" s="10" t="n"/>
      <c r="F41" s="8" t="n"/>
      <c r="G41" s="8" t="n"/>
      <c r="H41" s="11">
        <f>IF($G41="","",IFERROR(VLOOKUP($G41,Zones_Table,2,FALSE),"not in Zones"))</f>
        <v/>
      </c>
      <c r="I41" s="8" t="n"/>
      <c r="J41" s="8" t="n"/>
      <c r="K41" s="8" t="n"/>
      <c r="L41" s="11">
        <f>IF($J41="","",IF($J41=Manifest!$C$4,COUNTIF($J$5:$J41,Manifest!$C$4),""))</f>
        <v/>
      </c>
    </row>
    <row r="42">
      <c r="A42" s="8" t="n"/>
      <c r="B42" s="9" t="n"/>
      <c r="C42" s="8" t="n"/>
      <c r="D42" s="8" t="n"/>
      <c r="E42" s="10" t="n"/>
      <c r="F42" s="8" t="n"/>
      <c r="G42" s="8" t="n"/>
      <c r="H42" s="11">
        <f>IF($G42="","",IFERROR(VLOOKUP($G42,Zones_Table,2,FALSE),"not in Zones"))</f>
        <v/>
      </c>
      <c r="I42" s="8" t="n"/>
      <c r="J42" s="8" t="n"/>
      <c r="K42" s="8" t="n"/>
      <c r="L42" s="11">
        <f>IF($J42="","",IF($J42=Manifest!$C$4,COUNTIF($J$5:$J42,Manifest!$C$4),""))</f>
        <v/>
      </c>
    </row>
    <row r="43">
      <c r="A43" s="8" t="n"/>
      <c r="B43" s="9" t="n"/>
      <c r="C43" s="8" t="n"/>
      <c r="D43" s="8" t="n"/>
      <c r="E43" s="10" t="n"/>
      <c r="F43" s="8" t="n"/>
      <c r="G43" s="8" t="n"/>
      <c r="H43" s="11">
        <f>IF($G43="","",IFERROR(VLOOKUP($G43,Zones_Table,2,FALSE),"not in Zones"))</f>
        <v/>
      </c>
      <c r="I43" s="8" t="n"/>
      <c r="J43" s="8" t="n"/>
      <c r="K43" s="8" t="n"/>
      <c r="L43" s="11">
        <f>IF($J43="","",IF($J43=Manifest!$C$4,COUNTIF($J$5:$J43,Manifest!$C$4),""))</f>
        <v/>
      </c>
    </row>
    <row r="44">
      <c r="A44" s="8" t="n"/>
      <c r="B44" s="9" t="n"/>
      <c r="C44" s="8" t="n"/>
      <c r="D44" s="8" t="n"/>
      <c r="E44" s="10" t="n"/>
      <c r="F44" s="8" t="n"/>
      <c r="G44" s="8" t="n"/>
      <c r="H44" s="11">
        <f>IF($G44="","",IFERROR(VLOOKUP($G44,Zones_Table,2,FALSE),"not in Zones"))</f>
        <v/>
      </c>
      <c r="I44" s="8" t="n"/>
      <c r="J44" s="8" t="n"/>
      <c r="K44" s="8" t="n"/>
      <c r="L44" s="11">
        <f>IF($J44="","",IF($J44=Manifest!$C$4,COUNTIF($J$5:$J44,Manifest!$C$4),""))</f>
        <v/>
      </c>
    </row>
    <row r="45">
      <c r="A45" s="8" t="n"/>
      <c r="B45" s="9" t="n"/>
      <c r="C45" s="8" t="n"/>
      <c r="D45" s="8" t="n"/>
      <c r="E45" s="10" t="n"/>
      <c r="F45" s="8" t="n"/>
      <c r="G45" s="8" t="n"/>
      <c r="H45" s="11">
        <f>IF($G45="","",IFERROR(VLOOKUP($G45,Zones_Table,2,FALSE),"not in Zones"))</f>
        <v/>
      </c>
      <c r="I45" s="8" t="n"/>
      <c r="J45" s="8" t="n"/>
      <c r="K45" s="8" t="n"/>
      <c r="L45" s="11">
        <f>IF($J45="","",IF($J45=Manifest!$C$4,COUNTIF($J$5:$J45,Manifest!$C$4),""))</f>
        <v/>
      </c>
    </row>
    <row r="46">
      <c r="A46" s="8" t="n"/>
      <c r="B46" s="9" t="n"/>
      <c r="C46" s="8" t="n"/>
      <c r="D46" s="8" t="n"/>
      <c r="E46" s="10" t="n"/>
      <c r="F46" s="8" t="n"/>
      <c r="G46" s="8" t="n"/>
      <c r="H46" s="11">
        <f>IF($G46="","",IFERROR(VLOOKUP($G46,Zones_Table,2,FALSE),"not in Zones"))</f>
        <v/>
      </c>
      <c r="I46" s="8" t="n"/>
      <c r="J46" s="8" t="n"/>
      <c r="K46" s="8" t="n"/>
      <c r="L46" s="11">
        <f>IF($J46="","",IF($J46=Manifest!$C$4,COUNTIF($J$5:$J46,Manifest!$C$4),""))</f>
        <v/>
      </c>
    </row>
    <row r="47">
      <c r="A47" s="8" t="n"/>
      <c r="B47" s="9" t="n"/>
      <c r="C47" s="8" t="n"/>
      <c r="D47" s="8" t="n"/>
      <c r="E47" s="10" t="n"/>
      <c r="F47" s="8" t="n"/>
      <c r="G47" s="8" t="n"/>
      <c r="H47" s="11">
        <f>IF($G47="","",IFERROR(VLOOKUP($G47,Zones_Table,2,FALSE),"not in Zones"))</f>
        <v/>
      </c>
      <c r="I47" s="8" t="n"/>
      <c r="J47" s="8" t="n"/>
      <c r="K47" s="8" t="n"/>
      <c r="L47" s="11">
        <f>IF($J47="","",IF($J47=Manifest!$C$4,COUNTIF($J$5:$J47,Manifest!$C$4),""))</f>
        <v/>
      </c>
    </row>
    <row r="48">
      <c r="A48" s="8" t="n"/>
      <c r="B48" s="9" t="n"/>
      <c r="C48" s="8" t="n"/>
      <c r="D48" s="8" t="n"/>
      <c r="E48" s="10" t="n"/>
      <c r="F48" s="8" t="n"/>
      <c r="G48" s="8" t="n"/>
      <c r="H48" s="11">
        <f>IF($G48="","",IFERROR(VLOOKUP($G48,Zones_Table,2,FALSE),"not in Zones"))</f>
        <v/>
      </c>
      <c r="I48" s="8" t="n"/>
      <c r="J48" s="8" t="n"/>
      <c r="K48" s="8" t="n"/>
      <c r="L48" s="11">
        <f>IF($J48="","",IF($J48=Manifest!$C$4,COUNTIF($J$5:$J48,Manifest!$C$4),""))</f>
        <v/>
      </c>
    </row>
    <row r="49">
      <c r="A49" s="8" t="n"/>
      <c r="B49" s="9" t="n"/>
      <c r="C49" s="8" t="n"/>
      <c r="D49" s="8" t="n"/>
      <c r="E49" s="10" t="n"/>
      <c r="F49" s="8" t="n"/>
      <c r="G49" s="8" t="n"/>
      <c r="H49" s="11">
        <f>IF($G49="","",IFERROR(VLOOKUP($G49,Zones_Table,2,FALSE),"not in Zones"))</f>
        <v/>
      </c>
      <c r="I49" s="8" t="n"/>
      <c r="J49" s="8" t="n"/>
      <c r="K49" s="8" t="n"/>
      <c r="L49" s="11">
        <f>IF($J49="","",IF($J49=Manifest!$C$4,COUNTIF($J$5:$J49,Manifest!$C$4),""))</f>
        <v/>
      </c>
    </row>
    <row r="50">
      <c r="A50" s="8" t="n"/>
      <c r="B50" s="9" t="n"/>
      <c r="C50" s="8" t="n"/>
      <c r="D50" s="8" t="n"/>
      <c r="E50" s="10" t="n"/>
      <c r="F50" s="8" t="n"/>
      <c r="G50" s="8" t="n"/>
      <c r="H50" s="11">
        <f>IF($G50="","",IFERROR(VLOOKUP($G50,Zones_Table,2,FALSE),"not in Zones"))</f>
        <v/>
      </c>
      <c r="I50" s="8" t="n"/>
      <c r="J50" s="8" t="n"/>
      <c r="K50" s="8" t="n"/>
      <c r="L50" s="11">
        <f>IF($J50="","",IF($J50=Manifest!$C$4,COUNTIF($J$5:$J50,Manifest!$C$4),""))</f>
        <v/>
      </c>
    </row>
    <row r="51">
      <c r="A51" s="8" t="n"/>
      <c r="B51" s="9" t="n"/>
      <c r="C51" s="8" t="n"/>
      <c r="D51" s="8" t="n"/>
      <c r="E51" s="10" t="n"/>
      <c r="F51" s="8" t="n"/>
      <c r="G51" s="8" t="n"/>
      <c r="H51" s="11">
        <f>IF($G51="","",IFERROR(VLOOKUP($G51,Zones_Table,2,FALSE),"not in Zones"))</f>
        <v/>
      </c>
      <c r="I51" s="8" t="n"/>
      <c r="J51" s="8" t="n"/>
      <c r="K51" s="8" t="n"/>
      <c r="L51" s="11">
        <f>IF($J51="","",IF($J51=Manifest!$C$4,COUNTIF($J$5:$J51,Manifest!$C$4),""))</f>
        <v/>
      </c>
    </row>
    <row r="52">
      <c r="A52" s="8" t="n"/>
      <c r="B52" s="9" t="n"/>
      <c r="C52" s="8" t="n"/>
      <c r="D52" s="8" t="n"/>
      <c r="E52" s="10" t="n"/>
      <c r="F52" s="8" t="n"/>
      <c r="G52" s="8" t="n"/>
      <c r="H52" s="11">
        <f>IF($G52="","",IFERROR(VLOOKUP($G52,Zones_Table,2,FALSE),"not in Zones"))</f>
        <v/>
      </c>
      <c r="I52" s="8" t="n"/>
      <c r="J52" s="8" t="n"/>
      <c r="K52" s="8" t="n"/>
      <c r="L52" s="11">
        <f>IF($J52="","",IF($J52=Manifest!$C$4,COUNTIF($J$5:$J52,Manifest!$C$4),""))</f>
        <v/>
      </c>
    </row>
    <row r="53">
      <c r="A53" s="8" t="n"/>
      <c r="B53" s="9" t="n"/>
      <c r="C53" s="8" t="n"/>
      <c r="D53" s="8" t="n"/>
      <c r="E53" s="10" t="n"/>
      <c r="F53" s="8" t="n"/>
      <c r="G53" s="8" t="n"/>
      <c r="H53" s="11">
        <f>IF($G53="","",IFERROR(VLOOKUP($G53,Zones_Table,2,FALSE),"not in Zones"))</f>
        <v/>
      </c>
      <c r="I53" s="8" t="n"/>
      <c r="J53" s="8" t="n"/>
      <c r="K53" s="8" t="n"/>
      <c r="L53" s="11">
        <f>IF($J53="","",IF($J53=Manifest!$C$4,COUNTIF($J$5:$J53,Manifest!$C$4),""))</f>
        <v/>
      </c>
    </row>
    <row r="54">
      <c r="A54" s="8" t="n"/>
      <c r="B54" s="9" t="n"/>
      <c r="C54" s="8" t="n"/>
      <c r="D54" s="8" t="n"/>
      <c r="E54" s="10" t="n"/>
      <c r="F54" s="8" t="n"/>
      <c r="G54" s="8" t="n"/>
      <c r="H54" s="11">
        <f>IF($G54="","",IFERROR(VLOOKUP($G54,Zones_Table,2,FALSE),"not in Zones"))</f>
        <v/>
      </c>
      <c r="I54" s="8" t="n"/>
      <c r="J54" s="8" t="n"/>
      <c r="K54" s="8" t="n"/>
      <c r="L54" s="11">
        <f>IF($J54="","",IF($J54=Manifest!$C$4,COUNTIF($J$5:$J54,Manifest!$C$4),""))</f>
        <v/>
      </c>
    </row>
    <row r="55">
      <c r="A55" s="8" t="n"/>
      <c r="B55" s="9" t="n"/>
      <c r="C55" s="8" t="n"/>
      <c r="D55" s="8" t="n"/>
      <c r="E55" s="10" t="n"/>
      <c r="F55" s="8" t="n"/>
      <c r="G55" s="8" t="n"/>
      <c r="H55" s="11">
        <f>IF($G55="","",IFERROR(VLOOKUP($G55,Zones_Table,2,FALSE),"not in Zones"))</f>
        <v/>
      </c>
      <c r="I55" s="8" t="n"/>
      <c r="J55" s="8" t="n"/>
      <c r="K55" s="8" t="n"/>
      <c r="L55" s="11">
        <f>IF($J55="","",IF($J55=Manifest!$C$4,COUNTIF($J$5:$J55,Manifest!$C$4),""))</f>
        <v/>
      </c>
    </row>
    <row r="56">
      <c r="A56" s="8" t="n"/>
      <c r="B56" s="9" t="n"/>
      <c r="C56" s="8" t="n"/>
      <c r="D56" s="8" t="n"/>
      <c r="E56" s="10" t="n"/>
      <c r="F56" s="8" t="n"/>
      <c r="G56" s="8" t="n"/>
      <c r="H56" s="11">
        <f>IF($G56="","",IFERROR(VLOOKUP($G56,Zones_Table,2,FALSE),"not in Zones"))</f>
        <v/>
      </c>
      <c r="I56" s="8" t="n"/>
      <c r="J56" s="8" t="n"/>
      <c r="K56" s="8" t="n"/>
      <c r="L56" s="11">
        <f>IF($J56="","",IF($J56=Manifest!$C$4,COUNTIF($J$5:$J56,Manifest!$C$4),""))</f>
        <v/>
      </c>
    </row>
    <row r="57">
      <c r="A57" s="8" t="n"/>
      <c r="B57" s="9" t="n"/>
      <c r="C57" s="8" t="n"/>
      <c r="D57" s="8" t="n"/>
      <c r="E57" s="10" t="n"/>
      <c r="F57" s="8" t="n"/>
      <c r="G57" s="8" t="n"/>
      <c r="H57" s="11">
        <f>IF($G57="","",IFERROR(VLOOKUP($G57,Zones_Table,2,FALSE),"not in Zones"))</f>
        <v/>
      </c>
      <c r="I57" s="8" t="n"/>
      <c r="J57" s="8" t="n"/>
      <c r="K57" s="8" t="n"/>
      <c r="L57" s="11">
        <f>IF($J57="","",IF($J57=Manifest!$C$4,COUNTIF($J$5:$J57,Manifest!$C$4),""))</f>
        <v/>
      </c>
    </row>
    <row r="58">
      <c r="A58" s="8" t="n"/>
      <c r="B58" s="9" t="n"/>
      <c r="C58" s="8" t="n"/>
      <c r="D58" s="8" t="n"/>
      <c r="E58" s="10" t="n"/>
      <c r="F58" s="8" t="n"/>
      <c r="G58" s="8" t="n"/>
      <c r="H58" s="11">
        <f>IF($G58="","",IFERROR(VLOOKUP($G58,Zones_Table,2,FALSE),"not in Zones"))</f>
        <v/>
      </c>
      <c r="I58" s="8" t="n"/>
      <c r="J58" s="8" t="n"/>
      <c r="K58" s="8" t="n"/>
      <c r="L58" s="11">
        <f>IF($J58="","",IF($J58=Manifest!$C$4,COUNTIF($J$5:$J58,Manifest!$C$4),""))</f>
        <v/>
      </c>
    </row>
    <row r="59">
      <c r="A59" s="8" t="n"/>
      <c r="B59" s="9" t="n"/>
      <c r="C59" s="8" t="n"/>
      <c r="D59" s="8" t="n"/>
      <c r="E59" s="10" t="n"/>
      <c r="F59" s="8" t="n"/>
      <c r="G59" s="8" t="n"/>
      <c r="H59" s="11">
        <f>IF($G59="","",IFERROR(VLOOKUP($G59,Zones_Table,2,FALSE),"not in Zones"))</f>
        <v/>
      </c>
      <c r="I59" s="8" t="n"/>
      <c r="J59" s="8" t="n"/>
      <c r="K59" s="8" t="n"/>
      <c r="L59" s="11">
        <f>IF($J59="","",IF($J59=Manifest!$C$4,COUNTIF($J$5:$J59,Manifest!$C$4),""))</f>
        <v/>
      </c>
    </row>
    <row r="60">
      <c r="A60" s="8" t="n"/>
      <c r="B60" s="9" t="n"/>
      <c r="C60" s="8" t="n"/>
      <c r="D60" s="8" t="n"/>
      <c r="E60" s="10" t="n"/>
      <c r="F60" s="8" t="n"/>
      <c r="G60" s="8" t="n"/>
      <c r="H60" s="11">
        <f>IF($G60="","",IFERROR(VLOOKUP($G60,Zones_Table,2,FALSE),"not in Zones"))</f>
        <v/>
      </c>
      <c r="I60" s="8" t="n"/>
      <c r="J60" s="8" t="n"/>
      <c r="K60" s="8" t="n"/>
      <c r="L60" s="11">
        <f>IF($J60="","",IF($J60=Manifest!$C$4,COUNTIF($J$5:$J60,Manifest!$C$4),""))</f>
        <v/>
      </c>
    </row>
  </sheetData>
  <conditionalFormatting sqref="H5:H60">
    <cfRule type="expression" priority="1" dxfId="0" stopIfTrue="0">
      <formula>$H5="not in Zones"</formula>
    </cfRule>
  </conditionalFormatting>
  <dataValidations count="3">
    <dataValidation sqref="C5:C60" showDropDown="0" showInputMessage="0" showErrorMessage="0" allowBlank="1" type="list">
      <formula1>"Arrival,Departure"</formula1>
    </dataValidation>
    <dataValidation sqref="G5:G60" showDropDown="0" showInputMessage="0" showErrorMessage="0" allowBlank="1" type="list">
      <formula1>=Zones_Hotels</formula1>
    </dataValidation>
    <dataValidation sqref="J5:J60" showDropDown="0" showInputMessage="0" showErrorMessage="0" allowBlank="1" type="list">
      <formula1>=Board_Runs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4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2" customWidth="1" min="3" max="3"/>
    <col width="26" customWidth="1" min="4" max="4"/>
    <col width="24" customWidth="1" min="5" max="5"/>
    <col width="8" customWidth="1" min="6" max="6"/>
    <col width="8" customWidth="1" min="7" max="7"/>
    <col width="8" customWidth="1" min="8" max="8"/>
    <col width="10" customWidth="1" min="9" max="9"/>
    <col width="12" customWidth="1" min="10" max="10"/>
    <col width="10" customWidth="1" min="11" max="11"/>
    <col width="16" customWidth="1" min="12" max="12"/>
    <col width="15" customWidth="1" min="13" max="13"/>
    <col width="18" customWidth="1" min="14" max="14"/>
    <col width="32" customWidth="1" min="15" max="15"/>
  </cols>
  <sheetData>
    <row r="1">
      <c r="A1" s="5" t="inlineStr">
        <is>
          <t>Dispatch board</t>
        </is>
      </c>
    </row>
    <row r="2">
      <c r="A2" s="6" t="inlineStr">
        <is>
          <t>One row per run. Type a vehicle and the times it is held for; the checks run themselves. Grey columns are formulas.</t>
        </is>
      </c>
    </row>
    <row r="3">
      <c r="A3" s="12" t="inlineStr">
        <is>
          <t>Over capacity:</t>
        </is>
      </c>
      <c r="C3" s="13">
        <f>COUNTIF($L$6:$L$45,"OVER CAPACITY")</f>
        <v/>
      </c>
      <c r="D3" s="12" t="inlineStr">
        <is>
          <t>Vehicle clashes:</t>
        </is>
      </c>
      <c r="F3" s="13">
        <f>COUNTIF($M$6:$M$45,"VEHICLE CLASH")</f>
        <v/>
      </c>
      <c r="G3" s="12" t="inlineStr">
        <is>
          <t>Bookings with no run yet:</t>
        </is>
      </c>
      <c r="J3" s="13">
        <f>COUNTIFS(Bookings!$A$5:$A$60,"&lt;&gt;",Bookings!$J$5:$J$60,"")</f>
        <v/>
      </c>
    </row>
    <row r="5" ht="30" customHeight="1">
      <c r="A5" s="7" t="inlineStr">
        <is>
          <t>Run</t>
        </is>
      </c>
      <c r="B5" s="7" t="inlineStr">
        <is>
          <t>Date</t>
        </is>
      </c>
      <c r="C5" s="7" t="inlineStr">
        <is>
          <t>Direction</t>
        </is>
      </c>
      <c r="D5" s="7" t="inlineStr">
        <is>
          <t>Route</t>
        </is>
      </c>
      <c r="E5" s="7" t="inlineStr">
        <is>
          <t>Vehicle</t>
        </is>
      </c>
      <c r="F5" s="7" t="inlineStr">
        <is>
          <t>Seats  (auto)</t>
        </is>
      </c>
      <c r="G5" s="7" t="inlineStr">
        <is>
          <t>Start</t>
        </is>
      </c>
      <c r="H5" s="7" t="inlineStr">
        <is>
          <t>End</t>
        </is>
      </c>
      <c r="I5" s="7" t="inlineStr">
        <is>
          <t>Bookings  (auto)</t>
        </is>
      </c>
      <c r="J5" s="7" t="inlineStr">
        <is>
          <t>Pax assigned  (auto)</t>
        </is>
      </c>
      <c r="K5" s="7" t="inlineStr">
        <is>
          <t>Seats free  (auto)</t>
        </is>
      </c>
      <c r="L5" s="7" t="inlineStr">
        <is>
          <t>Capacity check  (auto)</t>
        </is>
      </c>
      <c r="M5" s="7" t="inlineStr">
        <is>
          <t>Vehicle check  (auto)</t>
        </is>
      </c>
      <c r="N5" s="7" t="inlineStr">
        <is>
          <t>Driver  (auto)</t>
        </is>
      </c>
      <c r="O5" s="7" t="inlineStr">
        <is>
          <t>Notes</t>
        </is>
      </c>
    </row>
    <row r="6">
      <c r="A6" s="8" t="inlineStr">
        <is>
          <t>R01</t>
        </is>
      </c>
      <c r="B6" s="9" t="n">
        <v>46186</v>
      </c>
      <c r="C6" s="8" t="inlineStr">
        <is>
          <t>Arrival</t>
        </is>
      </c>
      <c r="D6" s="8" t="inlineStr">
        <is>
          <t>CVD -&gt; Bay Central</t>
        </is>
      </c>
      <c r="E6" s="8" t="inlineStr">
        <is>
          <t>V-03 Vito 8A</t>
        </is>
      </c>
      <c r="F6" s="11">
        <f>IF($E6="","",IFERROR(VLOOKUP($E6,Fleet_Table,3,FALSE),"?"))</f>
        <v/>
      </c>
      <c r="G6" s="10" t="n">
        <v>0.2986111111111111</v>
      </c>
      <c r="H6" s="10" t="n">
        <v>0.3506944444444444</v>
      </c>
      <c r="I6" s="11">
        <f>IF($A6="","",COUNTIF(Bookings!$J$5:$J$60,$A6))</f>
        <v/>
      </c>
      <c r="J6" s="11">
        <f>IF($A6="","",SUMIF(Bookings!$J$5:$J$60,$A6,Bookings!$F$5:$F$60))</f>
        <v/>
      </c>
      <c r="K6" s="11">
        <f>IF(OR($A6="",NOT(ISNUMBER($F6))),"",$F6-$J6)</f>
        <v/>
      </c>
      <c r="L6" s="14">
        <f>IF(OR($A6="",NOT(ISNUMBER($F6))),"",IF($J6&gt;$F6,"OVER CAPACITY","ok"))</f>
        <v/>
      </c>
      <c r="M6" s="14">
        <f>IF(OR($E6="",$G6="",$H6=""),"",IF(SUMPRODUCT(($E$6:$E$45=$E6)*($B$6:$B$45=$B6)*($G$6:$G$45&lt;$H6)*($H$6:$H$45&gt;$G6))&gt;1,"VEHICLE CLASH","ok"))</f>
        <v/>
      </c>
      <c r="N6" s="11">
        <f>IF($E6="","",IFERROR(VLOOKUP($E6,Fleet_Table,4,FALSE),""))</f>
        <v/>
      </c>
      <c r="O6" s="8" t="inlineStr"/>
    </row>
    <row r="7">
      <c r="A7" s="8" t="inlineStr">
        <is>
          <t>R02</t>
        </is>
      </c>
      <c r="B7" s="9" t="n">
        <v>46186</v>
      </c>
      <c r="C7" s="8" t="inlineStr">
        <is>
          <t>Arrival</t>
        </is>
      </c>
      <c r="D7" s="8" t="inlineStr">
        <is>
          <t>CVD -&gt; North Coast</t>
        </is>
      </c>
      <c r="E7" s="8" t="inlineStr">
        <is>
          <t>V-01 Sprinter 16A</t>
        </is>
      </c>
      <c r="F7" s="11">
        <f>IF($E7="","",IFERROR(VLOOKUP($E7,Fleet_Table,3,FALSE),"?"))</f>
        <v/>
      </c>
      <c r="G7" s="10" t="n">
        <v>0.3333333333333333</v>
      </c>
      <c r="H7" s="10" t="n">
        <v>0.4027777777777778</v>
      </c>
      <c r="I7" s="11">
        <f>IF($A7="","",COUNTIF(Bookings!$J$5:$J$60,$A7))</f>
        <v/>
      </c>
      <c r="J7" s="11">
        <f>IF($A7="","",SUMIF(Bookings!$J$5:$J$60,$A7,Bookings!$F$5:$F$60))</f>
        <v/>
      </c>
      <c r="K7" s="11">
        <f>IF(OR($A7="",NOT(ISNUMBER($F7))),"",$F7-$J7)</f>
        <v/>
      </c>
      <c r="L7" s="14">
        <f>IF(OR($A7="",NOT(ISNUMBER($F7))),"",IF($J7&gt;$F7,"OVER CAPACITY","ok"))</f>
        <v/>
      </c>
      <c r="M7" s="14">
        <f>IF(OR($E7="",$G7="",$H7=""),"",IF(SUMPRODUCT(($E$6:$E$45=$E7)*($B$6:$B$45=$B7)*($G$6:$G$45&lt;$H7)*($H$6:$H$45&gt;$G7))&gt;1,"VEHICLE CLASH","ok"))</f>
        <v/>
      </c>
      <c r="N7" s="11">
        <f>IF($E7="","",IFERROR(VLOOKUP($E7,Fleet_Table,4,FALSE),""))</f>
        <v/>
      </c>
      <c r="O7" s="8" t="inlineStr"/>
    </row>
    <row r="8">
      <c r="A8" s="8" t="inlineStr">
        <is>
          <t>R03</t>
        </is>
      </c>
      <c r="B8" s="9" t="n">
        <v>46186</v>
      </c>
      <c r="C8" s="8" t="inlineStr">
        <is>
          <t>Arrival</t>
        </is>
      </c>
      <c r="D8" s="8" t="inlineStr">
        <is>
          <t>CVD -&gt; Old Town</t>
        </is>
      </c>
      <c r="E8" s="8" t="inlineStr">
        <is>
          <t>V-05 Sedan 3A</t>
        </is>
      </c>
      <c r="F8" s="11">
        <f>IF($E8="","",IFERROR(VLOOKUP($E8,Fleet_Table,3,FALSE),"?"))</f>
        <v/>
      </c>
      <c r="G8" s="10" t="n">
        <v>0.3854166666666667</v>
      </c>
      <c r="H8" s="10" t="n">
        <v>0.4375</v>
      </c>
      <c r="I8" s="11">
        <f>IF($A8="","",COUNTIF(Bookings!$J$5:$J$60,$A8))</f>
        <v/>
      </c>
      <c r="J8" s="11">
        <f>IF($A8="","",SUMIF(Bookings!$J$5:$J$60,$A8,Bookings!$F$5:$F$60))</f>
        <v/>
      </c>
      <c r="K8" s="11">
        <f>IF(OR($A8="",NOT(ISNUMBER($F8))),"",$F8-$J8)</f>
        <v/>
      </c>
      <c r="L8" s="14">
        <f>IF(OR($A8="",NOT(ISNUMBER($F8))),"",IF($J8&gt;$F8,"OVER CAPACITY","ok"))</f>
        <v/>
      </c>
      <c r="M8" s="14">
        <f>IF(OR($E8="",$G8="",$H8=""),"",IF(SUMPRODUCT(($E$6:$E$45=$E8)*($B$6:$B$45=$B8)*($G$6:$G$45&lt;$H8)*($H$6:$H$45&gt;$G8))&gt;1,"VEHICLE CLASH","ok"))</f>
        <v/>
      </c>
      <c r="N8" s="11">
        <f>IF($E8="","",IFERROR(VLOOKUP($E8,Fleet_Table,4,FALSE),""))</f>
        <v/>
      </c>
      <c r="O8" s="8" t="inlineStr">
        <is>
          <t>Private car</t>
        </is>
      </c>
    </row>
    <row r="9">
      <c r="A9" s="8" t="inlineStr">
        <is>
          <t>R04</t>
        </is>
      </c>
      <c r="B9" s="9" t="n">
        <v>46186</v>
      </c>
      <c r="C9" s="8" t="inlineStr">
        <is>
          <t>Arrival</t>
        </is>
      </c>
      <c r="D9" s="8" t="inlineStr">
        <is>
          <t>CVD -&gt; South Cliffs</t>
        </is>
      </c>
      <c r="E9" s="8" t="inlineStr">
        <is>
          <t>V-02 Sprinter 16B</t>
        </is>
      </c>
      <c r="F9" s="11">
        <f>IF($E9="","",IFERROR(VLOOKUP($E9,Fleet_Table,3,FALSE),"?"))</f>
        <v/>
      </c>
      <c r="G9" s="10" t="n">
        <v>0.4201388888888889</v>
      </c>
      <c r="H9" s="10" t="n">
        <v>0.4930555555555556</v>
      </c>
      <c r="I9" s="11">
        <f>IF($A9="","",COUNTIF(Bookings!$J$5:$J$60,$A9))</f>
        <v/>
      </c>
      <c r="J9" s="11">
        <f>IF($A9="","",SUMIF(Bookings!$J$5:$J$60,$A9,Bookings!$F$5:$F$60))</f>
        <v/>
      </c>
      <c r="K9" s="11">
        <f>IF(OR($A9="",NOT(ISNUMBER($F9))),"",$F9-$J9)</f>
        <v/>
      </c>
      <c r="L9" s="14">
        <f>IF(OR($A9="",NOT(ISNUMBER($F9))),"",IF($J9&gt;$F9,"OVER CAPACITY","ok"))</f>
        <v/>
      </c>
      <c r="M9" s="14">
        <f>IF(OR($E9="",$G9="",$H9=""),"",IF(SUMPRODUCT(($E$6:$E$45=$E9)*($B$6:$B$45=$B9)*($G$6:$G$45&lt;$H9)*($H$6:$H$45&gt;$G9))&gt;1,"VEHICLE CLASH","ok"))</f>
        <v/>
      </c>
      <c r="N9" s="11">
        <f>IF($E9="","",IFERROR(VLOOKUP($E9,Fleet_Table,4,FALSE),""))</f>
        <v/>
      </c>
      <c r="O9" s="8" t="inlineStr"/>
    </row>
    <row r="10">
      <c r="A10" s="8" t="inlineStr">
        <is>
          <t>R05</t>
        </is>
      </c>
      <c r="B10" s="9" t="n">
        <v>46186</v>
      </c>
      <c r="C10" s="8" t="inlineStr">
        <is>
          <t>Arrival</t>
        </is>
      </c>
      <c r="D10" s="8" t="inlineStr">
        <is>
          <t>CVD -&gt; Bay Central</t>
        </is>
      </c>
      <c r="E10" s="8" t="inlineStr">
        <is>
          <t>V-06 Partner Van 8</t>
        </is>
      </c>
      <c r="F10" s="11">
        <f>IF($E10="","",IFERROR(VLOOKUP($E10,Fleet_Table,3,FALSE),"?"))</f>
        <v/>
      </c>
      <c r="G10" s="10" t="n">
        <v>0.4722222222222222</v>
      </c>
      <c r="H10" s="10" t="n">
        <v>0.53125</v>
      </c>
      <c r="I10" s="11">
        <f>IF($A10="","",COUNTIF(Bookings!$J$5:$J$60,$A10))</f>
        <v/>
      </c>
      <c r="J10" s="11">
        <f>IF($A10="","",SUMIF(Bookings!$J$5:$J$60,$A10,Bookings!$F$5:$F$60))</f>
        <v/>
      </c>
      <c r="K10" s="11">
        <f>IF(OR($A10="",NOT(ISNUMBER($F10))),"",$F10-$J10)</f>
        <v/>
      </c>
      <c r="L10" s="14">
        <f>IF(OR($A10="",NOT(ISNUMBER($F10))),"",IF($J10&gt;$F10,"OVER CAPACITY","ok"))</f>
        <v/>
      </c>
      <c r="M10" s="14">
        <f>IF(OR($E10="",$G10="",$H10=""),"",IF(SUMPRODUCT(($E$6:$E$45=$E10)*($B$6:$B$45=$B10)*($G$6:$G$45&lt;$H10)*($H$6:$H$45&gt;$G10))&gt;1,"VEHICLE CLASH","ok"))</f>
        <v/>
      </c>
      <c r="N10" s="11">
        <f>IF($E10="","",IFERROR(VLOOKUP($E10,Fleet_Table,4,FALSE),""))</f>
        <v/>
      </c>
      <c r="O10" s="8" t="inlineStr">
        <is>
          <t>Late add-on from ZR 71</t>
        </is>
      </c>
    </row>
    <row r="11">
      <c r="A11" s="8" t="inlineStr">
        <is>
          <t>R06</t>
        </is>
      </c>
      <c r="B11" s="9" t="n">
        <v>46186</v>
      </c>
      <c r="C11" s="8" t="inlineStr">
        <is>
          <t>Arrival</t>
        </is>
      </c>
      <c r="D11" s="8" t="inlineStr">
        <is>
          <t>CVD -&gt; North Coast</t>
        </is>
      </c>
      <c r="E11" s="8" t="inlineStr">
        <is>
          <t>V-04 Coach 50</t>
        </is>
      </c>
      <c r="F11" s="11">
        <f>IF($E11="","",IFERROR(VLOOKUP($E11,Fleet_Table,3,FALSE),"?"))</f>
        <v/>
      </c>
      <c r="G11" s="10" t="n">
        <v>0.5277777777777778</v>
      </c>
      <c r="H11" s="10" t="n">
        <v>0.5902777777777778</v>
      </c>
      <c r="I11" s="11">
        <f>IF($A11="","",COUNTIF(Bookings!$J$5:$J$60,$A11))</f>
        <v/>
      </c>
      <c r="J11" s="11">
        <f>IF($A11="","",SUMIF(Bookings!$J$5:$J$60,$A11,Bookings!$F$5:$F$60))</f>
        <v/>
      </c>
      <c r="K11" s="11">
        <f>IF(OR($A11="",NOT(ISNUMBER($F11))),"",$F11-$J11)</f>
        <v/>
      </c>
      <c r="L11" s="14">
        <f>IF(OR($A11="",NOT(ISNUMBER($F11))),"",IF($J11&gt;$F11,"OVER CAPACITY","ok"))</f>
        <v/>
      </c>
      <c r="M11" s="14">
        <f>IF(OR($E11="",$G11="",$H11=""),"",IF(SUMPRODUCT(($E$6:$E$45=$E11)*($B$6:$B$45=$B11)*($G$6:$G$45&lt;$H11)*($H$6:$H$45&gt;$G11))&gt;1,"VEHICLE CLASH","ok"))</f>
        <v/>
      </c>
      <c r="N11" s="11">
        <f>IF($E11="","",IFERROR(VLOOKUP($E11,Fleet_Table,4,FALSE),""))</f>
        <v/>
      </c>
      <c r="O11" s="8" t="inlineStr">
        <is>
          <t>Group charter</t>
        </is>
      </c>
    </row>
    <row r="12">
      <c r="A12" s="8" t="inlineStr">
        <is>
          <t>R07</t>
        </is>
      </c>
      <c r="B12" s="9" t="n">
        <v>46186</v>
      </c>
      <c r="C12" s="8" t="inlineStr">
        <is>
          <t>Departure</t>
        </is>
      </c>
      <c r="D12" s="8" t="inlineStr">
        <is>
          <t>South Cliffs -&gt; CVD</t>
        </is>
      </c>
      <c r="E12" s="8" t="inlineStr">
        <is>
          <t>V-01 Sprinter 16A</t>
        </is>
      </c>
      <c r="F12" s="11">
        <f>IF($E12="","",IFERROR(VLOOKUP($E12,Fleet_Table,3,FALSE),"?"))</f>
        <v/>
      </c>
      <c r="G12" s="10" t="n">
        <v>0.5625</v>
      </c>
      <c r="H12" s="10" t="n">
        <v>0.6215277777777778</v>
      </c>
      <c r="I12" s="11">
        <f>IF($A12="","",COUNTIF(Bookings!$J$5:$J$60,$A12))</f>
        <v/>
      </c>
      <c r="J12" s="11">
        <f>IF($A12="","",SUMIF(Bookings!$J$5:$J$60,$A12,Bookings!$F$5:$F$60))</f>
        <v/>
      </c>
      <c r="K12" s="11">
        <f>IF(OR($A12="",NOT(ISNUMBER($F12))),"",$F12-$J12)</f>
        <v/>
      </c>
      <c r="L12" s="14">
        <f>IF(OR($A12="",NOT(ISNUMBER($F12))),"",IF($J12&gt;$F12,"OVER CAPACITY","ok"))</f>
        <v/>
      </c>
      <c r="M12" s="14">
        <f>IF(OR($E12="",$G12="",$H12=""),"",IF(SUMPRODUCT(($E$6:$E$45=$E12)*($B$6:$B$45=$B12)*($G$6:$G$45&lt;$H12)*($H$6:$H$45&gt;$G12))&gt;1,"VEHICLE CLASH","ok"))</f>
        <v/>
      </c>
      <c r="N12" s="11">
        <f>IF($E12="","",IFERROR(VLOOKUP($E12,Fleet_Table,4,FALSE),""))</f>
        <v/>
      </c>
      <c r="O12" s="8" t="inlineStr"/>
    </row>
    <row r="13">
      <c r="A13" s="8" t="inlineStr">
        <is>
          <t>R08</t>
        </is>
      </c>
      <c r="B13" s="9" t="n">
        <v>46186</v>
      </c>
      <c r="C13" s="8" t="inlineStr">
        <is>
          <t>Departure</t>
        </is>
      </c>
      <c r="D13" s="8" t="inlineStr">
        <is>
          <t>Bay Central -&gt; CVD</t>
        </is>
      </c>
      <c r="E13" s="8" t="inlineStr">
        <is>
          <t>V-03 Vito 8A</t>
        </is>
      </c>
      <c r="F13" s="11">
        <f>IF($E13="","",IFERROR(VLOOKUP($E13,Fleet_Table,3,FALSE),"?"))</f>
        <v/>
      </c>
      <c r="G13" s="10" t="n">
        <v>0.5972222222222222</v>
      </c>
      <c r="H13" s="10" t="n">
        <v>0.6527777777777778</v>
      </c>
      <c r="I13" s="11">
        <f>IF($A13="","",COUNTIF(Bookings!$J$5:$J$60,$A13))</f>
        <v/>
      </c>
      <c r="J13" s="11">
        <f>IF($A13="","",SUMIF(Bookings!$J$5:$J$60,$A13,Bookings!$F$5:$F$60))</f>
        <v/>
      </c>
      <c r="K13" s="11">
        <f>IF(OR($A13="",NOT(ISNUMBER($F13))),"",$F13-$J13)</f>
        <v/>
      </c>
      <c r="L13" s="14">
        <f>IF(OR($A13="",NOT(ISNUMBER($F13))),"",IF($J13&gt;$F13,"OVER CAPACITY","ok"))</f>
        <v/>
      </c>
      <c r="M13" s="14">
        <f>IF(OR($E13="",$G13="",$H13=""),"",IF(SUMPRODUCT(($E$6:$E$45=$E13)*($B$6:$B$45=$B13)*($G$6:$G$45&lt;$H13)*($H$6:$H$45&gt;$G13))&gt;1,"VEHICLE CLASH","ok"))</f>
        <v/>
      </c>
      <c r="N13" s="11">
        <f>IF($E13="","",IFERROR(VLOOKUP($E13,Fleet_Table,4,FALSE),""))</f>
        <v/>
      </c>
      <c r="O13" s="8" t="inlineStr"/>
    </row>
    <row r="14">
      <c r="A14" s="8" t="inlineStr">
        <is>
          <t>R09</t>
        </is>
      </c>
      <c r="B14" s="9" t="n">
        <v>46186</v>
      </c>
      <c r="C14" s="8" t="inlineStr">
        <is>
          <t>Departure</t>
        </is>
      </c>
      <c r="D14" s="8" t="inlineStr">
        <is>
          <t>Old Town -&gt; CVD</t>
        </is>
      </c>
      <c r="E14" s="8" t="inlineStr">
        <is>
          <t>V-03 Vito 8A</t>
        </is>
      </c>
      <c r="F14" s="11">
        <f>IF($E14="","",IFERROR(VLOOKUP($E14,Fleet_Table,3,FALSE),"?"))</f>
        <v/>
      </c>
      <c r="G14" s="10" t="n">
        <v>0.6180555555555556</v>
      </c>
      <c r="H14" s="10" t="n">
        <v>0.6736111111111112</v>
      </c>
      <c r="I14" s="11">
        <f>IF($A14="","",COUNTIF(Bookings!$J$5:$J$60,$A14))</f>
        <v/>
      </c>
      <c r="J14" s="11">
        <f>IF($A14="","",SUMIF(Bookings!$J$5:$J$60,$A14,Bookings!$F$5:$F$60))</f>
        <v/>
      </c>
      <c r="K14" s="11">
        <f>IF(OR($A14="",NOT(ISNUMBER($F14))),"",$F14-$J14)</f>
        <v/>
      </c>
      <c r="L14" s="14">
        <f>IF(OR($A14="",NOT(ISNUMBER($F14))),"",IF($J14&gt;$F14,"OVER CAPACITY","ok"))</f>
        <v/>
      </c>
      <c r="M14" s="14">
        <f>IF(OR($E14="",$G14="",$H14=""),"",IF(SUMPRODUCT(($E$6:$E$45=$E14)*($B$6:$B$45=$B14)*($G$6:$G$45&lt;$H14)*($H$6:$H$45&gt;$G14))&gt;1,"VEHICLE CLASH","ok"))</f>
        <v/>
      </c>
      <c r="N14" s="11">
        <f>IF($E14="","",IFERROR(VLOOKUP($E14,Fleet_Table,4,FALSE),""))</f>
        <v/>
      </c>
      <c r="O14" s="8" t="inlineStr">
        <is>
          <t>Agency rate agreed last season</t>
        </is>
      </c>
    </row>
    <row r="15">
      <c r="A15" s="8" t="inlineStr">
        <is>
          <t>R10</t>
        </is>
      </c>
      <c r="B15" s="9" t="n">
        <v>46186</v>
      </c>
      <c r="C15" s="8" t="inlineStr">
        <is>
          <t>Departure</t>
        </is>
      </c>
      <c r="D15" s="8" t="inlineStr">
        <is>
          <t>North Coast -&gt; CVD</t>
        </is>
      </c>
      <c r="E15" s="8" t="inlineStr">
        <is>
          <t>V-02 Sprinter 16B</t>
        </is>
      </c>
      <c r="F15" s="11">
        <f>IF($E15="","",IFERROR(VLOOKUP($E15,Fleet_Table,3,FALSE),"?"))</f>
        <v/>
      </c>
      <c r="G15" s="10" t="n">
        <v>0.6666666666666666</v>
      </c>
      <c r="H15" s="10" t="n">
        <v>0.7291666666666666</v>
      </c>
      <c r="I15" s="11">
        <f>IF($A15="","",COUNTIF(Bookings!$J$5:$J$60,$A15))</f>
        <v/>
      </c>
      <c r="J15" s="11">
        <f>IF($A15="","",SUMIF(Bookings!$J$5:$J$60,$A15,Bookings!$F$5:$F$60))</f>
        <v/>
      </c>
      <c r="K15" s="11">
        <f>IF(OR($A15="",NOT(ISNUMBER($F15))),"",$F15-$J15)</f>
        <v/>
      </c>
      <c r="L15" s="14">
        <f>IF(OR($A15="",NOT(ISNUMBER($F15))),"",IF($J15&gt;$F15,"OVER CAPACITY","ok"))</f>
        <v/>
      </c>
      <c r="M15" s="14">
        <f>IF(OR($E15="",$G15="",$H15=""),"",IF(SUMPRODUCT(($E$6:$E$45=$E15)*($B$6:$B$45=$B15)*($G$6:$G$45&lt;$H15)*($H$6:$H$45&gt;$G15))&gt;1,"VEHICLE CLASH","ok"))</f>
        <v/>
      </c>
      <c r="N15" s="11">
        <f>IF($E15="","",IFERROR(VLOOKUP($E15,Fleet_Table,4,FALSE),""))</f>
        <v/>
      </c>
      <c r="O15" s="8" t="inlineStr"/>
    </row>
    <row r="16">
      <c r="A16" s="8" t="inlineStr">
        <is>
          <t>R11</t>
        </is>
      </c>
      <c r="B16" s="9" t="n">
        <v>46186</v>
      </c>
      <c r="C16" s="8" t="inlineStr">
        <is>
          <t>Departure</t>
        </is>
      </c>
      <c r="D16" s="8" t="inlineStr">
        <is>
          <t>South Cliffs -&gt; CVD</t>
        </is>
      </c>
      <c r="E16" s="8" t="inlineStr">
        <is>
          <t>V-07 Partner Minibus 19</t>
        </is>
      </c>
      <c r="F16" s="11">
        <f>IF($E16="","",IFERROR(VLOOKUP($E16,Fleet_Table,3,FALSE),"?"))</f>
        <v/>
      </c>
      <c r="G16" s="10" t="n">
        <v>0.71875</v>
      </c>
      <c r="H16" s="10" t="n">
        <v>0.7777777777777778</v>
      </c>
      <c r="I16" s="11">
        <f>IF($A16="","",COUNTIF(Bookings!$J$5:$J$60,$A16))</f>
        <v/>
      </c>
      <c r="J16" s="11">
        <f>IF($A16="","",SUMIF(Bookings!$J$5:$J$60,$A16,Bookings!$F$5:$F$60))</f>
        <v/>
      </c>
      <c r="K16" s="11">
        <f>IF(OR($A16="",NOT(ISNUMBER($F16))),"",$F16-$J16)</f>
        <v/>
      </c>
      <c r="L16" s="14">
        <f>IF(OR($A16="",NOT(ISNUMBER($F16))),"",IF($J16&gt;$F16,"OVER CAPACITY","ok"))</f>
        <v/>
      </c>
      <c r="M16" s="14">
        <f>IF(OR($E16="",$G16="",$H16=""),"",IF(SUMPRODUCT(($E$6:$E$45=$E16)*($B$6:$B$45=$B16)*($G$6:$G$45&lt;$H16)*($H$6:$H$45&gt;$G16))&gt;1,"VEHICLE CLASH","ok"))</f>
        <v/>
      </c>
      <c r="N16" s="11">
        <f>IF($E16="","",IFERROR(VLOOKUP($E16,Fleet_Table,4,FALSE),""))</f>
        <v/>
      </c>
      <c r="O16" s="8" t="inlineStr"/>
    </row>
    <row r="17">
      <c r="A17" s="8" t="inlineStr">
        <is>
          <t>R12</t>
        </is>
      </c>
      <c r="B17" s="9" t="n">
        <v>46186</v>
      </c>
      <c r="C17" s="8" t="inlineStr">
        <is>
          <t>Departure</t>
        </is>
      </c>
      <c r="D17" s="8" t="inlineStr">
        <is>
          <t>Bay Central -&gt; CVD</t>
        </is>
      </c>
      <c r="E17" s="8" t="inlineStr">
        <is>
          <t>V-08 Vito 8B</t>
        </is>
      </c>
      <c r="F17" s="11">
        <f>IF($E17="","",IFERROR(VLOOKUP($E17,Fleet_Table,3,FALSE),"?"))</f>
        <v/>
      </c>
      <c r="G17" s="10" t="n">
        <v>0.7708333333333334</v>
      </c>
      <c r="H17" s="10" t="n">
        <v>0.8298611111111112</v>
      </c>
      <c r="I17" s="11">
        <f>IF($A17="","",COUNTIF(Bookings!$J$5:$J$60,$A17))</f>
        <v/>
      </c>
      <c r="J17" s="11">
        <f>IF($A17="","",SUMIF(Bookings!$J$5:$J$60,$A17,Bookings!$F$5:$F$60))</f>
        <v/>
      </c>
      <c r="K17" s="11">
        <f>IF(OR($A17="",NOT(ISNUMBER($F17))),"",$F17-$J17)</f>
        <v/>
      </c>
      <c r="L17" s="14">
        <f>IF(OR($A17="",NOT(ISNUMBER($F17))),"",IF($J17&gt;$F17,"OVER CAPACITY","ok"))</f>
        <v/>
      </c>
      <c r="M17" s="14">
        <f>IF(OR($E17="",$G17="",$H17=""),"",IF(SUMPRODUCT(($E$6:$E$45=$E17)*($B$6:$B$45=$B17)*($G$6:$G$45&lt;$H17)*($H$6:$H$45&gt;$G17))&gt;1,"VEHICLE CLASH","ok"))</f>
        <v/>
      </c>
      <c r="N17" s="11">
        <f>IF($E17="","",IFERROR(VLOOKUP($E17,Fleet_Table,4,FALSE),""))</f>
        <v/>
      </c>
      <c r="O17" s="8" t="inlineStr"/>
    </row>
    <row r="18">
      <c r="A18" s="8" t="n"/>
      <c r="B18" s="9" t="n"/>
      <c r="C18" s="8" t="n"/>
      <c r="D18" s="8" t="n"/>
      <c r="E18" s="8" t="n"/>
      <c r="F18" s="11">
        <f>IF($E18="","",IFERROR(VLOOKUP($E18,Fleet_Table,3,FALSE),"?"))</f>
        <v/>
      </c>
      <c r="G18" s="10" t="n"/>
      <c r="H18" s="10" t="n"/>
      <c r="I18" s="11">
        <f>IF($A18="","",COUNTIF(Bookings!$J$5:$J$60,$A18))</f>
        <v/>
      </c>
      <c r="J18" s="11">
        <f>IF($A18="","",SUMIF(Bookings!$J$5:$J$60,$A18,Bookings!$F$5:$F$60))</f>
        <v/>
      </c>
      <c r="K18" s="11">
        <f>IF(OR($A18="",NOT(ISNUMBER($F18))),"",$F18-$J18)</f>
        <v/>
      </c>
      <c r="L18" s="14">
        <f>IF(OR($A18="",NOT(ISNUMBER($F18))),"",IF($J18&gt;$F18,"OVER CAPACITY","ok"))</f>
        <v/>
      </c>
      <c r="M18" s="14">
        <f>IF(OR($E18="",$G18="",$H18=""),"",IF(SUMPRODUCT(($E$6:$E$45=$E18)*($B$6:$B$45=$B18)*($G$6:$G$45&lt;$H18)*($H$6:$H$45&gt;$G18))&gt;1,"VEHICLE CLASH","ok"))</f>
        <v/>
      </c>
      <c r="N18" s="11">
        <f>IF($E18="","",IFERROR(VLOOKUP($E18,Fleet_Table,4,FALSE),""))</f>
        <v/>
      </c>
      <c r="O18" s="8" t="n"/>
    </row>
    <row r="19">
      <c r="A19" s="8" t="n"/>
      <c r="B19" s="9" t="n"/>
      <c r="C19" s="8" t="n"/>
      <c r="D19" s="8" t="n"/>
      <c r="E19" s="8" t="n"/>
      <c r="F19" s="11">
        <f>IF($E19="","",IFERROR(VLOOKUP($E19,Fleet_Table,3,FALSE),"?"))</f>
        <v/>
      </c>
      <c r="G19" s="10" t="n"/>
      <c r="H19" s="10" t="n"/>
      <c r="I19" s="11">
        <f>IF($A19="","",COUNTIF(Bookings!$J$5:$J$60,$A19))</f>
        <v/>
      </c>
      <c r="J19" s="11">
        <f>IF($A19="","",SUMIF(Bookings!$J$5:$J$60,$A19,Bookings!$F$5:$F$60))</f>
        <v/>
      </c>
      <c r="K19" s="11">
        <f>IF(OR($A19="",NOT(ISNUMBER($F19))),"",$F19-$J19)</f>
        <v/>
      </c>
      <c r="L19" s="14">
        <f>IF(OR($A19="",NOT(ISNUMBER($F19))),"",IF($J19&gt;$F19,"OVER CAPACITY","ok"))</f>
        <v/>
      </c>
      <c r="M19" s="14">
        <f>IF(OR($E19="",$G19="",$H19=""),"",IF(SUMPRODUCT(($E$6:$E$45=$E19)*($B$6:$B$45=$B19)*($G$6:$G$45&lt;$H19)*($H$6:$H$45&gt;$G19))&gt;1,"VEHICLE CLASH","ok"))</f>
        <v/>
      </c>
      <c r="N19" s="11">
        <f>IF($E19="","",IFERROR(VLOOKUP($E19,Fleet_Table,4,FALSE),""))</f>
        <v/>
      </c>
      <c r="O19" s="8" t="n"/>
    </row>
    <row r="20">
      <c r="A20" s="8" t="n"/>
      <c r="B20" s="9" t="n"/>
      <c r="C20" s="8" t="n"/>
      <c r="D20" s="8" t="n"/>
      <c r="E20" s="8" t="n"/>
      <c r="F20" s="11">
        <f>IF($E20="","",IFERROR(VLOOKUP($E20,Fleet_Table,3,FALSE),"?"))</f>
        <v/>
      </c>
      <c r="G20" s="10" t="n"/>
      <c r="H20" s="10" t="n"/>
      <c r="I20" s="11">
        <f>IF($A20="","",COUNTIF(Bookings!$J$5:$J$60,$A20))</f>
        <v/>
      </c>
      <c r="J20" s="11">
        <f>IF($A20="","",SUMIF(Bookings!$J$5:$J$60,$A20,Bookings!$F$5:$F$60))</f>
        <v/>
      </c>
      <c r="K20" s="11">
        <f>IF(OR($A20="",NOT(ISNUMBER($F20))),"",$F20-$J20)</f>
        <v/>
      </c>
      <c r="L20" s="14">
        <f>IF(OR($A20="",NOT(ISNUMBER($F20))),"",IF($J20&gt;$F20,"OVER CAPACITY","ok"))</f>
        <v/>
      </c>
      <c r="M20" s="14">
        <f>IF(OR($E20="",$G20="",$H20=""),"",IF(SUMPRODUCT(($E$6:$E$45=$E20)*($B$6:$B$45=$B20)*($G$6:$G$45&lt;$H20)*($H$6:$H$45&gt;$G20))&gt;1,"VEHICLE CLASH","ok"))</f>
        <v/>
      </c>
      <c r="N20" s="11">
        <f>IF($E20="","",IFERROR(VLOOKUP($E20,Fleet_Table,4,FALSE),""))</f>
        <v/>
      </c>
      <c r="O20" s="8" t="n"/>
    </row>
    <row r="21">
      <c r="A21" s="8" t="n"/>
      <c r="B21" s="9" t="n"/>
      <c r="C21" s="8" t="n"/>
      <c r="D21" s="8" t="n"/>
      <c r="E21" s="8" t="n"/>
      <c r="F21" s="11">
        <f>IF($E21="","",IFERROR(VLOOKUP($E21,Fleet_Table,3,FALSE),"?"))</f>
        <v/>
      </c>
      <c r="G21" s="10" t="n"/>
      <c r="H21" s="10" t="n"/>
      <c r="I21" s="11">
        <f>IF($A21="","",COUNTIF(Bookings!$J$5:$J$60,$A21))</f>
        <v/>
      </c>
      <c r="J21" s="11">
        <f>IF($A21="","",SUMIF(Bookings!$J$5:$J$60,$A21,Bookings!$F$5:$F$60))</f>
        <v/>
      </c>
      <c r="K21" s="11">
        <f>IF(OR($A21="",NOT(ISNUMBER($F21))),"",$F21-$J21)</f>
        <v/>
      </c>
      <c r="L21" s="14">
        <f>IF(OR($A21="",NOT(ISNUMBER($F21))),"",IF($J21&gt;$F21,"OVER CAPACITY","ok"))</f>
        <v/>
      </c>
      <c r="M21" s="14">
        <f>IF(OR($E21="",$G21="",$H21=""),"",IF(SUMPRODUCT(($E$6:$E$45=$E21)*($B$6:$B$45=$B21)*($G$6:$G$45&lt;$H21)*($H$6:$H$45&gt;$G21))&gt;1,"VEHICLE CLASH","ok"))</f>
        <v/>
      </c>
      <c r="N21" s="11">
        <f>IF($E21="","",IFERROR(VLOOKUP($E21,Fleet_Table,4,FALSE),""))</f>
        <v/>
      </c>
      <c r="O21" s="8" t="n"/>
    </row>
    <row r="22">
      <c r="A22" s="8" t="n"/>
      <c r="B22" s="9" t="n"/>
      <c r="C22" s="8" t="n"/>
      <c r="D22" s="8" t="n"/>
      <c r="E22" s="8" t="n"/>
      <c r="F22" s="11">
        <f>IF($E22="","",IFERROR(VLOOKUP($E22,Fleet_Table,3,FALSE),"?"))</f>
        <v/>
      </c>
      <c r="G22" s="10" t="n"/>
      <c r="H22" s="10" t="n"/>
      <c r="I22" s="11">
        <f>IF($A22="","",COUNTIF(Bookings!$J$5:$J$60,$A22))</f>
        <v/>
      </c>
      <c r="J22" s="11">
        <f>IF($A22="","",SUMIF(Bookings!$J$5:$J$60,$A22,Bookings!$F$5:$F$60))</f>
        <v/>
      </c>
      <c r="K22" s="11">
        <f>IF(OR($A22="",NOT(ISNUMBER($F22))),"",$F22-$J22)</f>
        <v/>
      </c>
      <c r="L22" s="14">
        <f>IF(OR($A22="",NOT(ISNUMBER($F22))),"",IF($J22&gt;$F22,"OVER CAPACITY","ok"))</f>
        <v/>
      </c>
      <c r="M22" s="14">
        <f>IF(OR($E22="",$G22="",$H22=""),"",IF(SUMPRODUCT(($E$6:$E$45=$E22)*($B$6:$B$45=$B22)*($G$6:$G$45&lt;$H22)*($H$6:$H$45&gt;$G22))&gt;1,"VEHICLE CLASH","ok"))</f>
        <v/>
      </c>
      <c r="N22" s="11">
        <f>IF($E22="","",IFERROR(VLOOKUP($E22,Fleet_Table,4,FALSE),""))</f>
        <v/>
      </c>
      <c r="O22" s="8" t="n"/>
    </row>
    <row r="23">
      <c r="A23" s="8" t="n"/>
      <c r="B23" s="9" t="n"/>
      <c r="C23" s="8" t="n"/>
      <c r="D23" s="8" t="n"/>
      <c r="E23" s="8" t="n"/>
      <c r="F23" s="11">
        <f>IF($E23="","",IFERROR(VLOOKUP($E23,Fleet_Table,3,FALSE),"?"))</f>
        <v/>
      </c>
      <c r="G23" s="10" t="n"/>
      <c r="H23" s="10" t="n"/>
      <c r="I23" s="11">
        <f>IF($A23="","",COUNTIF(Bookings!$J$5:$J$60,$A23))</f>
        <v/>
      </c>
      <c r="J23" s="11">
        <f>IF($A23="","",SUMIF(Bookings!$J$5:$J$60,$A23,Bookings!$F$5:$F$60))</f>
        <v/>
      </c>
      <c r="K23" s="11">
        <f>IF(OR($A23="",NOT(ISNUMBER($F23))),"",$F23-$J23)</f>
        <v/>
      </c>
      <c r="L23" s="14">
        <f>IF(OR($A23="",NOT(ISNUMBER($F23))),"",IF($J23&gt;$F23,"OVER CAPACITY","ok"))</f>
        <v/>
      </c>
      <c r="M23" s="14">
        <f>IF(OR($E23="",$G23="",$H23=""),"",IF(SUMPRODUCT(($E$6:$E$45=$E23)*($B$6:$B$45=$B23)*($G$6:$G$45&lt;$H23)*($H$6:$H$45&gt;$G23))&gt;1,"VEHICLE CLASH","ok"))</f>
        <v/>
      </c>
      <c r="N23" s="11">
        <f>IF($E23="","",IFERROR(VLOOKUP($E23,Fleet_Table,4,FALSE),""))</f>
        <v/>
      </c>
      <c r="O23" s="8" t="n"/>
    </row>
    <row r="24">
      <c r="A24" s="8" t="n"/>
      <c r="B24" s="9" t="n"/>
      <c r="C24" s="8" t="n"/>
      <c r="D24" s="8" t="n"/>
      <c r="E24" s="8" t="n"/>
      <c r="F24" s="11">
        <f>IF($E24="","",IFERROR(VLOOKUP($E24,Fleet_Table,3,FALSE),"?"))</f>
        <v/>
      </c>
      <c r="G24" s="10" t="n"/>
      <c r="H24" s="10" t="n"/>
      <c r="I24" s="11">
        <f>IF($A24="","",COUNTIF(Bookings!$J$5:$J$60,$A24))</f>
        <v/>
      </c>
      <c r="J24" s="11">
        <f>IF($A24="","",SUMIF(Bookings!$J$5:$J$60,$A24,Bookings!$F$5:$F$60))</f>
        <v/>
      </c>
      <c r="K24" s="11">
        <f>IF(OR($A24="",NOT(ISNUMBER($F24))),"",$F24-$J24)</f>
        <v/>
      </c>
      <c r="L24" s="14">
        <f>IF(OR($A24="",NOT(ISNUMBER($F24))),"",IF($J24&gt;$F24,"OVER CAPACITY","ok"))</f>
        <v/>
      </c>
      <c r="M24" s="14">
        <f>IF(OR($E24="",$G24="",$H24=""),"",IF(SUMPRODUCT(($E$6:$E$45=$E24)*($B$6:$B$45=$B24)*($G$6:$G$45&lt;$H24)*($H$6:$H$45&gt;$G24))&gt;1,"VEHICLE CLASH","ok"))</f>
        <v/>
      </c>
      <c r="N24" s="11">
        <f>IF($E24="","",IFERROR(VLOOKUP($E24,Fleet_Table,4,FALSE),""))</f>
        <v/>
      </c>
      <c r="O24" s="8" t="n"/>
    </row>
    <row r="25">
      <c r="A25" s="8" t="n"/>
      <c r="B25" s="9" t="n"/>
      <c r="C25" s="8" t="n"/>
      <c r="D25" s="8" t="n"/>
      <c r="E25" s="8" t="n"/>
      <c r="F25" s="11">
        <f>IF($E25="","",IFERROR(VLOOKUP($E25,Fleet_Table,3,FALSE),"?"))</f>
        <v/>
      </c>
      <c r="G25" s="10" t="n"/>
      <c r="H25" s="10" t="n"/>
      <c r="I25" s="11">
        <f>IF($A25="","",COUNTIF(Bookings!$J$5:$J$60,$A25))</f>
        <v/>
      </c>
      <c r="J25" s="11">
        <f>IF($A25="","",SUMIF(Bookings!$J$5:$J$60,$A25,Bookings!$F$5:$F$60))</f>
        <v/>
      </c>
      <c r="K25" s="11">
        <f>IF(OR($A25="",NOT(ISNUMBER($F25))),"",$F25-$J25)</f>
        <v/>
      </c>
      <c r="L25" s="14">
        <f>IF(OR($A25="",NOT(ISNUMBER($F25))),"",IF($J25&gt;$F25,"OVER CAPACITY","ok"))</f>
        <v/>
      </c>
      <c r="M25" s="14">
        <f>IF(OR($E25="",$G25="",$H25=""),"",IF(SUMPRODUCT(($E$6:$E$45=$E25)*($B$6:$B$45=$B25)*($G$6:$G$45&lt;$H25)*($H$6:$H$45&gt;$G25))&gt;1,"VEHICLE CLASH","ok"))</f>
        <v/>
      </c>
      <c r="N25" s="11">
        <f>IF($E25="","",IFERROR(VLOOKUP($E25,Fleet_Table,4,FALSE),""))</f>
        <v/>
      </c>
      <c r="O25" s="8" t="n"/>
    </row>
    <row r="26">
      <c r="A26" s="8" t="n"/>
      <c r="B26" s="9" t="n"/>
      <c r="C26" s="8" t="n"/>
      <c r="D26" s="8" t="n"/>
      <c r="E26" s="8" t="n"/>
      <c r="F26" s="11">
        <f>IF($E26="","",IFERROR(VLOOKUP($E26,Fleet_Table,3,FALSE),"?"))</f>
        <v/>
      </c>
      <c r="G26" s="10" t="n"/>
      <c r="H26" s="10" t="n"/>
      <c r="I26" s="11">
        <f>IF($A26="","",COUNTIF(Bookings!$J$5:$J$60,$A26))</f>
        <v/>
      </c>
      <c r="J26" s="11">
        <f>IF($A26="","",SUMIF(Bookings!$J$5:$J$60,$A26,Bookings!$F$5:$F$60))</f>
        <v/>
      </c>
      <c r="K26" s="11">
        <f>IF(OR($A26="",NOT(ISNUMBER($F26))),"",$F26-$J26)</f>
        <v/>
      </c>
      <c r="L26" s="14">
        <f>IF(OR($A26="",NOT(ISNUMBER($F26))),"",IF($J26&gt;$F26,"OVER CAPACITY","ok"))</f>
        <v/>
      </c>
      <c r="M26" s="14">
        <f>IF(OR($E26="",$G26="",$H26=""),"",IF(SUMPRODUCT(($E$6:$E$45=$E26)*($B$6:$B$45=$B26)*($G$6:$G$45&lt;$H26)*($H$6:$H$45&gt;$G26))&gt;1,"VEHICLE CLASH","ok"))</f>
        <v/>
      </c>
      <c r="N26" s="11">
        <f>IF($E26="","",IFERROR(VLOOKUP($E26,Fleet_Table,4,FALSE),""))</f>
        <v/>
      </c>
      <c r="O26" s="8" t="n"/>
    </row>
    <row r="27">
      <c r="A27" s="8" t="n"/>
      <c r="B27" s="9" t="n"/>
      <c r="C27" s="8" t="n"/>
      <c r="D27" s="8" t="n"/>
      <c r="E27" s="8" t="n"/>
      <c r="F27" s="11">
        <f>IF($E27="","",IFERROR(VLOOKUP($E27,Fleet_Table,3,FALSE),"?"))</f>
        <v/>
      </c>
      <c r="G27" s="10" t="n"/>
      <c r="H27" s="10" t="n"/>
      <c r="I27" s="11">
        <f>IF($A27="","",COUNTIF(Bookings!$J$5:$J$60,$A27))</f>
        <v/>
      </c>
      <c r="J27" s="11">
        <f>IF($A27="","",SUMIF(Bookings!$J$5:$J$60,$A27,Bookings!$F$5:$F$60))</f>
        <v/>
      </c>
      <c r="K27" s="11">
        <f>IF(OR($A27="",NOT(ISNUMBER($F27))),"",$F27-$J27)</f>
        <v/>
      </c>
      <c r="L27" s="14">
        <f>IF(OR($A27="",NOT(ISNUMBER($F27))),"",IF($J27&gt;$F27,"OVER CAPACITY","ok"))</f>
        <v/>
      </c>
      <c r="M27" s="14">
        <f>IF(OR($E27="",$G27="",$H27=""),"",IF(SUMPRODUCT(($E$6:$E$45=$E27)*($B$6:$B$45=$B27)*($G$6:$G$45&lt;$H27)*($H$6:$H$45&gt;$G27))&gt;1,"VEHICLE CLASH","ok"))</f>
        <v/>
      </c>
      <c r="N27" s="11">
        <f>IF($E27="","",IFERROR(VLOOKUP($E27,Fleet_Table,4,FALSE),""))</f>
        <v/>
      </c>
      <c r="O27" s="8" t="n"/>
    </row>
    <row r="28">
      <c r="A28" s="8" t="n"/>
      <c r="B28" s="9" t="n"/>
      <c r="C28" s="8" t="n"/>
      <c r="D28" s="8" t="n"/>
      <c r="E28" s="8" t="n"/>
      <c r="F28" s="11">
        <f>IF($E28="","",IFERROR(VLOOKUP($E28,Fleet_Table,3,FALSE),"?"))</f>
        <v/>
      </c>
      <c r="G28" s="10" t="n"/>
      <c r="H28" s="10" t="n"/>
      <c r="I28" s="11">
        <f>IF($A28="","",COUNTIF(Bookings!$J$5:$J$60,$A28))</f>
        <v/>
      </c>
      <c r="J28" s="11">
        <f>IF($A28="","",SUMIF(Bookings!$J$5:$J$60,$A28,Bookings!$F$5:$F$60))</f>
        <v/>
      </c>
      <c r="K28" s="11">
        <f>IF(OR($A28="",NOT(ISNUMBER($F28))),"",$F28-$J28)</f>
        <v/>
      </c>
      <c r="L28" s="14">
        <f>IF(OR($A28="",NOT(ISNUMBER($F28))),"",IF($J28&gt;$F28,"OVER CAPACITY","ok"))</f>
        <v/>
      </c>
      <c r="M28" s="14">
        <f>IF(OR($E28="",$G28="",$H28=""),"",IF(SUMPRODUCT(($E$6:$E$45=$E28)*($B$6:$B$45=$B28)*($G$6:$G$45&lt;$H28)*($H$6:$H$45&gt;$G28))&gt;1,"VEHICLE CLASH","ok"))</f>
        <v/>
      </c>
      <c r="N28" s="11">
        <f>IF($E28="","",IFERROR(VLOOKUP($E28,Fleet_Table,4,FALSE),""))</f>
        <v/>
      </c>
      <c r="O28" s="8" t="n"/>
    </row>
    <row r="29">
      <c r="A29" s="8" t="n"/>
      <c r="B29" s="9" t="n"/>
      <c r="C29" s="8" t="n"/>
      <c r="D29" s="8" t="n"/>
      <c r="E29" s="8" t="n"/>
      <c r="F29" s="11">
        <f>IF($E29="","",IFERROR(VLOOKUP($E29,Fleet_Table,3,FALSE),"?"))</f>
        <v/>
      </c>
      <c r="G29" s="10" t="n"/>
      <c r="H29" s="10" t="n"/>
      <c r="I29" s="11">
        <f>IF($A29="","",COUNTIF(Bookings!$J$5:$J$60,$A29))</f>
        <v/>
      </c>
      <c r="J29" s="11">
        <f>IF($A29="","",SUMIF(Bookings!$J$5:$J$60,$A29,Bookings!$F$5:$F$60))</f>
        <v/>
      </c>
      <c r="K29" s="11">
        <f>IF(OR($A29="",NOT(ISNUMBER($F29))),"",$F29-$J29)</f>
        <v/>
      </c>
      <c r="L29" s="14">
        <f>IF(OR($A29="",NOT(ISNUMBER($F29))),"",IF($J29&gt;$F29,"OVER CAPACITY","ok"))</f>
        <v/>
      </c>
      <c r="M29" s="14">
        <f>IF(OR($E29="",$G29="",$H29=""),"",IF(SUMPRODUCT(($E$6:$E$45=$E29)*($B$6:$B$45=$B29)*($G$6:$G$45&lt;$H29)*($H$6:$H$45&gt;$G29))&gt;1,"VEHICLE CLASH","ok"))</f>
        <v/>
      </c>
      <c r="N29" s="11">
        <f>IF($E29="","",IFERROR(VLOOKUP($E29,Fleet_Table,4,FALSE),""))</f>
        <v/>
      </c>
      <c r="O29" s="8" t="n"/>
    </row>
    <row r="30">
      <c r="A30" s="8" t="n"/>
      <c r="B30" s="9" t="n"/>
      <c r="C30" s="8" t="n"/>
      <c r="D30" s="8" t="n"/>
      <c r="E30" s="8" t="n"/>
      <c r="F30" s="11">
        <f>IF($E30="","",IFERROR(VLOOKUP($E30,Fleet_Table,3,FALSE),"?"))</f>
        <v/>
      </c>
      <c r="G30" s="10" t="n"/>
      <c r="H30" s="10" t="n"/>
      <c r="I30" s="11">
        <f>IF($A30="","",COUNTIF(Bookings!$J$5:$J$60,$A30))</f>
        <v/>
      </c>
      <c r="J30" s="11">
        <f>IF($A30="","",SUMIF(Bookings!$J$5:$J$60,$A30,Bookings!$F$5:$F$60))</f>
        <v/>
      </c>
      <c r="K30" s="11">
        <f>IF(OR($A30="",NOT(ISNUMBER($F30))),"",$F30-$J30)</f>
        <v/>
      </c>
      <c r="L30" s="14">
        <f>IF(OR($A30="",NOT(ISNUMBER($F30))),"",IF($J30&gt;$F30,"OVER CAPACITY","ok"))</f>
        <v/>
      </c>
      <c r="M30" s="14">
        <f>IF(OR($E30="",$G30="",$H30=""),"",IF(SUMPRODUCT(($E$6:$E$45=$E30)*($B$6:$B$45=$B30)*($G$6:$G$45&lt;$H30)*($H$6:$H$45&gt;$G30))&gt;1,"VEHICLE CLASH","ok"))</f>
        <v/>
      </c>
      <c r="N30" s="11">
        <f>IF($E30="","",IFERROR(VLOOKUP($E30,Fleet_Table,4,FALSE),""))</f>
        <v/>
      </c>
      <c r="O30" s="8" t="n"/>
    </row>
    <row r="31">
      <c r="A31" s="8" t="n"/>
      <c r="B31" s="9" t="n"/>
      <c r="C31" s="8" t="n"/>
      <c r="D31" s="8" t="n"/>
      <c r="E31" s="8" t="n"/>
      <c r="F31" s="11">
        <f>IF($E31="","",IFERROR(VLOOKUP($E31,Fleet_Table,3,FALSE),"?"))</f>
        <v/>
      </c>
      <c r="G31" s="10" t="n"/>
      <c r="H31" s="10" t="n"/>
      <c r="I31" s="11">
        <f>IF($A31="","",COUNTIF(Bookings!$J$5:$J$60,$A31))</f>
        <v/>
      </c>
      <c r="J31" s="11">
        <f>IF($A31="","",SUMIF(Bookings!$J$5:$J$60,$A31,Bookings!$F$5:$F$60))</f>
        <v/>
      </c>
      <c r="K31" s="11">
        <f>IF(OR($A31="",NOT(ISNUMBER($F31))),"",$F31-$J31)</f>
        <v/>
      </c>
      <c r="L31" s="14">
        <f>IF(OR($A31="",NOT(ISNUMBER($F31))),"",IF($J31&gt;$F31,"OVER CAPACITY","ok"))</f>
        <v/>
      </c>
      <c r="M31" s="14">
        <f>IF(OR($E31="",$G31="",$H31=""),"",IF(SUMPRODUCT(($E$6:$E$45=$E31)*($B$6:$B$45=$B31)*($G$6:$G$45&lt;$H31)*($H$6:$H$45&gt;$G31))&gt;1,"VEHICLE CLASH","ok"))</f>
        <v/>
      </c>
      <c r="N31" s="11">
        <f>IF($E31="","",IFERROR(VLOOKUP($E31,Fleet_Table,4,FALSE),""))</f>
        <v/>
      </c>
      <c r="O31" s="8" t="n"/>
    </row>
    <row r="32">
      <c r="A32" s="8" t="n"/>
      <c r="B32" s="9" t="n"/>
      <c r="C32" s="8" t="n"/>
      <c r="D32" s="8" t="n"/>
      <c r="E32" s="8" t="n"/>
      <c r="F32" s="11">
        <f>IF($E32="","",IFERROR(VLOOKUP($E32,Fleet_Table,3,FALSE),"?"))</f>
        <v/>
      </c>
      <c r="G32" s="10" t="n"/>
      <c r="H32" s="10" t="n"/>
      <c r="I32" s="11">
        <f>IF($A32="","",COUNTIF(Bookings!$J$5:$J$60,$A32))</f>
        <v/>
      </c>
      <c r="J32" s="11">
        <f>IF($A32="","",SUMIF(Bookings!$J$5:$J$60,$A32,Bookings!$F$5:$F$60))</f>
        <v/>
      </c>
      <c r="K32" s="11">
        <f>IF(OR($A32="",NOT(ISNUMBER($F32))),"",$F32-$J32)</f>
        <v/>
      </c>
      <c r="L32" s="14">
        <f>IF(OR($A32="",NOT(ISNUMBER($F32))),"",IF($J32&gt;$F32,"OVER CAPACITY","ok"))</f>
        <v/>
      </c>
      <c r="M32" s="14">
        <f>IF(OR($E32="",$G32="",$H32=""),"",IF(SUMPRODUCT(($E$6:$E$45=$E32)*($B$6:$B$45=$B32)*($G$6:$G$45&lt;$H32)*($H$6:$H$45&gt;$G32))&gt;1,"VEHICLE CLASH","ok"))</f>
        <v/>
      </c>
      <c r="N32" s="11">
        <f>IF($E32="","",IFERROR(VLOOKUP($E32,Fleet_Table,4,FALSE),""))</f>
        <v/>
      </c>
      <c r="O32" s="8" t="n"/>
    </row>
    <row r="33">
      <c r="A33" s="8" t="n"/>
      <c r="B33" s="9" t="n"/>
      <c r="C33" s="8" t="n"/>
      <c r="D33" s="8" t="n"/>
      <c r="E33" s="8" t="n"/>
      <c r="F33" s="11">
        <f>IF($E33="","",IFERROR(VLOOKUP($E33,Fleet_Table,3,FALSE),"?"))</f>
        <v/>
      </c>
      <c r="G33" s="10" t="n"/>
      <c r="H33" s="10" t="n"/>
      <c r="I33" s="11">
        <f>IF($A33="","",COUNTIF(Bookings!$J$5:$J$60,$A33))</f>
        <v/>
      </c>
      <c r="J33" s="11">
        <f>IF($A33="","",SUMIF(Bookings!$J$5:$J$60,$A33,Bookings!$F$5:$F$60))</f>
        <v/>
      </c>
      <c r="K33" s="11">
        <f>IF(OR($A33="",NOT(ISNUMBER($F33))),"",$F33-$J33)</f>
        <v/>
      </c>
      <c r="L33" s="14">
        <f>IF(OR($A33="",NOT(ISNUMBER($F33))),"",IF($J33&gt;$F33,"OVER CAPACITY","ok"))</f>
        <v/>
      </c>
      <c r="M33" s="14">
        <f>IF(OR($E33="",$G33="",$H33=""),"",IF(SUMPRODUCT(($E$6:$E$45=$E33)*($B$6:$B$45=$B33)*($G$6:$G$45&lt;$H33)*($H$6:$H$45&gt;$G33))&gt;1,"VEHICLE CLASH","ok"))</f>
        <v/>
      </c>
      <c r="N33" s="11">
        <f>IF($E33="","",IFERROR(VLOOKUP($E33,Fleet_Table,4,FALSE),""))</f>
        <v/>
      </c>
      <c r="O33" s="8" t="n"/>
    </row>
    <row r="34">
      <c r="A34" s="8" t="n"/>
      <c r="B34" s="9" t="n"/>
      <c r="C34" s="8" t="n"/>
      <c r="D34" s="8" t="n"/>
      <c r="E34" s="8" t="n"/>
      <c r="F34" s="11">
        <f>IF($E34="","",IFERROR(VLOOKUP($E34,Fleet_Table,3,FALSE),"?"))</f>
        <v/>
      </c>
      <c r="G34" s="10" t="n"/>
      <c r="H34" s="10" t="n"/>
      <c r="I34" s="11">
        <f>IF($A34="","",COUNTIF(Bookings!$J$5:$J$60,$A34))</f>
        <v/>
      </c>
      <c r="J34" s="11">
        <f>IF($A34="","",SUMIF(Bookings!$J$5:$J$60,$A34,Bookings!$F$5:$F$60))</f>
        <v/>
      </c>
      <c r="K34" s="11">
        <f>IF(OR($A34="",NOT(ISNUMBER($F34))),"",$F34-$J34)</f>
        <v/>
      </c>
      <c r="L34" s="14">
        <f>IF(OR($A34="",NOT(ISNUMBER($F34))),"",IF($J34&gt;$F34,"OVER CAPACITY","ok"))</f>
        <v/>
      </c>
      <c r="M34" s="14">
        <f>IF(OR($E34="",$G34="",$H34=""),"",IF(SUMPRODUCT(($E$6:$E$45=$E34)*($B$6:$B$45=$B34)*($G$6:$G$45&lt;$H34)*($H$6:$H$45&gt;$G34))&gt;1,"VEHICLE CLASH","ok"))</f>
        <v/>
      </c>
      <c r="N34" s="11">
        <f>IF($E34="","",IFERROR(VLOOKUP($E34,Fleet_Table,4,FALSE),""))</f>
        <v/>
      </c>
      <c r="O34" s="8" t="n"/>
    </row>
    <row r="35">
      <c r="A35" s="8" t="n"/>
      <c r="B35" s="9" t="n"/>
      <c r="C35" s="8" t="n"/>
      <c r="D35" s="8" t="n"/>
      <c r="E35" s="8" t="n"/>
      <c r="F35" s="11">
        <f>IF($E35="","",IFERROR(VLOOKUP($E35,Fleet_Table,3,FALSE),"?"))</f>
        <v/>
      </c>
      <c r="G35" s="10" t="n"/>
      <c r="H35" s="10" t="n"/>
      <c r="I35" s="11">
        <f>IF($A35="","",COUNTIF(Bookings!$J$5:$J$60,$A35))</f>
        <v/>
      </c>
      <c r="J35" s="11">
        <f>IF($A35="","",SUMIF(Bookings!$J$5:$J$60,$A35,Bookings!$F$5:$F$60))</f>
        <v/>
      </c>
      <c r="K35" s="11">
        <f>IF(OR($A35="",NOT(ISNUMBER($F35))),"",$F35-$J35)</f>
        <v/>
      </c>
      <c r="L35" s="14">
        <f>IF(OR($A35="",NOT(ISNUMBER($F35))),"",IF($J35&gt;$F35,"OVER CAPACITY","ok"))</f>
        <v/>
      </c>
      <c r="M35" s="14">
        <f>IF(OR($E35="",$G35="",$H35=""),"",IF(SUMPRODUCT(($E$6:$E$45=$E35)*($B$6:$B$45=$B35)*($G$6:$G$45&lt;$H35)*($H$6:$H$45&gt;$G35))&gt;1,"VEHICLE CLASH","ok"))</f>
        <v/>
      </c>
      <c r="N35" s="11">
        <f>IF($E35="","",IFERROR(VLOOKUP($E35,Fleet_Table,4,FALSE),""))</f>
        <v/>
      </c>
      <c r="O35" s="8" t="n"/>
    </row>
    <row r="36">
      <c r="A36" s="8" t="n"/>
      <c r="B36" s="9" t="n"/>
      <c r="C36" s="8" t="n"/>
      <c r="D36" s="8" t="n"/>
      <c r="E36" s="8" t="n"/>
      <c r="F36" s="11">
        <f>IF($E36="","",IFERROR(VLOOKUP($E36,Fleet_Table,3,FALSE),"?"))</f>
        <v/>
      </c>
      <c r="G36" s="10" t="n"/>
      <c r="H36" s="10" t="n"/>
      <c r="I36" s="11">
        <f>IF($A36="","",COUNTIF(Bookings!$J$5:$J$60,$A36))</f>
        <v/>
      </c>
      <c r="J36" s="11">
        <f>IF($A36="","",SUMIF(Bookings!$J$5:$J$60,$A36,Bookings!$F$5:$F$60))</f>
        <v/>
      </c>
      <c r="K36" s="11">
        <f>IF(OR($A36="",NOT(ISNUMBER($F36))),"",$F36-$J36)</f>
        <v/>
      </c>
      <c r="L36" s="14">
        <f>IF(OR($A36="",NOT(ISNUMBER($F36))),"",IF($J36&gt;$F36,"OVER CAPACITY","ok"))</f>
        <v/>
      </c>
      <c r="M36" s="14">
        <f>IF(OR($E36="",$G36="",$H36=""),"",IF(SUMPRODUCT(($E$6:$E$45=$E36)*($B$6:$B$45=$B36)*($G$6:$G$45&lt;$H36)*($H$6:$H$45&gt;$G36))&gt;1,"VEHICLE CLASH","ok"))</f>
        <v/>
      </c>
      <c r="N36" s="11">
        <f>IF($E36="","",IFERROR(VLOOKUP($E36,Fleet_Table,4,FALSE),""))</f>
        <v/>
      </c>
      <c r="O36" s="8" t="n"/>
    </row>
    <row r="37">
      <c r="A37" s="8" t="n"/>
      <c r="B37" s="9" t="n"/>
      <c r="C37" s="8" t="n"/>
      <c r="D37" s="8" t="n"/>
      <c r="E37" s="8" t="n"/>
      <c r="F37" s="11">
        <f>IF($E37="","",IFERROR(VLOOKUP($E37,Fleet_Table,3,FALSE),"?"))</f>
        <v/>
      </c>
      <c r="G37" s="10" t="n"/>
      <c r="H37" s="10" t="n"/>
      <c r="I37" s="11">
        <f>IF($A37="","",COUNTIF(Bookings!$J$5:$J$60,$A37))</f>
        <v/>
      </c>
      <c r="J37" s="11">
        <f>IF($A37="","",SUMIF(Bookings!$J$5:$J$60,$A37,Bookings!$F$5:$F$60))</f>
        <v/>
      </c>
      <c r="K37" s="11">
        <f>IF(OR($A37="",NOT(ISNUMBER($F37))),"",$F37-$J37)</f>
        <v/>
      </c>
      <c r="L37" s="14">
        <f>IF(OR($A37="",NOT(ISNUMBER($F37))),"",IF($J37&gt;$F37,"OVER CAPACITY","ok"))</f>
        <v/>
      </c>
      <c r="M37" s="14">
        <f>IF(OR($E37="",$G37="",$H37=""),"",IF(SUMPRODUCT(($E$6:$E$45=$E37)*($B$6:$B$45=$B37)*($G$6:$G$45&lt;$H37)*($H$6:$H$45&gt;$G37))&gt;1,"VEHICLE CLASH","ok"))</f>
        <v/>
      </c>
      <c r="N37" s="11">
        <f>IF($E37="","",IFERROR(VLOOKUP($E37,Fleet_Table,4,FALSE),""))</f>
        <v/>
      </c>
      <c r="O37" s="8" t="n"/>
    </row>
    <row r="38">
      <c r="A38" s="8" t="n"/>
      <c r="B38" s="9" t="n"/>
      <c r="C38" s="8" t="n"/>
      <c r="D38" s="8" t="n"/>
      <c r="E38" s="8" t="n"/>
      <c r="F38" s="11">
        <f>IF($E38="","",IFERROR(VLOOKUP($E38,Fleet_Table,3,FALSE),"?"))</f>
        <v/>
      </c>
      <c r="G38" s="10" t="n"/>
      <c r="H38" s="10" t="n"/>
      <c r="I38" s="11">
        <f>IF($A38="","",COUNTIF(Bookings!$J$5:$J$60,$A38))</f>
        <v/>
      </c>
      <c r="J38" s="11">
        <f>IF($A38="","",SUMIF(Bookings!$J$5:$J$60,$A38,Bookings!$F$5:$F$60))</f>
        <v/>
      </c>
      <c r="K38" s="11">
        <f>IF(OR($A38="",NOT(ISNUMBER($F38))),"",$F38-$J38)</f>
        <v/>
      </c>
      <c r="L38" s="14">
        <f>IF(OR($A38="",NOT(ISNUMBER($F38))),"",IF($J38&gt;$F38,"OVER CAPACITY","ok"))</f>
        <v/>
      </c>
      <c r="M38" s="14">
        <f>IF(OR($E38="",$G38="",$H38=""),"",IF(SUMPRODUCT(($E$6:$E$45=$E38)*($B$6:$B$45=$B38)*($G$6:$G$45&lt;$H38)*($H$6:$H$45&gt;$G38))&gt;1,"VEHICLE CLASH","ok"))</f>
        <v/>
      </c>
      <c r="N38" s="11">
        <f>IF($E38="","",IFERROR(VLOOKUP($E38,Fleet_Table,4,FALSE),""))</f>
        <v/>
      </c>
      <c r="O38" s="8" t="n"/>
    </row>
    <row r="39">
      <c r="A39" s="8" t="n"/>
      <c r="B39" s="9" t="n"/>
      <c r="C39" s="8" t="n"/>
      <c r="D39" s="8" t="n"/>
      <c r="E39" s="8" t="n"/>
      <c r="F39" s="11">
        <f>IF($E39="","",IFERROR(VLOOKUP($E39,Fleet_Table,3,FALSE),"?"))</f>
        <v/>
      </c>
      <c r="G39" s="10" t="n"/>
      <c r="H39" s="10" t="n"/>
      <c r="I39" s="11">
        <f>IF($A39="","",COUNTIF(Bookings!$J$5:$J$60,$A39))</f>
        <v/>
      </c>
      <c r="J39" s="11">
        <f>IF($A39="","",SUMIF(Bookings!$J$5:$J$60,$A39,Bookings!$F$5:$F$60))</f>
        <v/>
      </c>
      <c r="K39" s="11">
        <f>IF(OR($A39="",NOT(ISNUMBER($F39))),"",$F39-$J39)</f>
        <v/>
      </c>
      <c r="L39" s="14">
        <f>IF(OR($A39="",NOT(ISNUMBER($F39))),"",IF($J39&gt;$F39,"OVER CAPACITY","ok"))</f>
        <v/>
      </c>
      <c r="M39" s="14">
        <f>IF(OR($E39="",$G39="",$H39=""),"",IF(SUMPRODUCT(($E$6:$E$45=$E39)*($B$6:$B$45=$B39)*($G$6:$G$45&lt;$H39)*($H$6:$H$45&gt;$G39))&gt;1,"VEHICLE CLASH","ok"))</f>
        <v/>
      </c>
      <c r="N39" s="11">
        <f>IF($E39="","",IFERROR(VLOOKUP($E39,Fleet_Table,4,FALSE),""))</f>
        <v/>
      </c>
      <c r="O39" s="8" t="n"/>
    </row>
    <row r="40">
      <c r="A40" s="8" t="n"/>
      <c r="B40" s="9" t="n"/>
      <c r="C40" s="8" t="n"/>
      <c r="D40" s="8" t="n"/>
      <c r="E40" s="8" t="n"/>
      <c r="F40" s="11">
        <f>IF($E40="","",IFERROR(VLOOKUP($E40,Fleet_Table,3,FALSE),"?"))</f>
        <v/>
      </c>
      <c r="G40" s="10" t="n"/>
      <c r="H40" s="10" t="n"/>
      <c r="I40" s="11">
        <f>IF($A40="","",COUNTIF(Bookings!$J$5:$J$60,$A40))</f>
        <v/>
      </c>
      <c r="J40" s="11">
        <f>IF($A40="","",SUMIF(Bookings!$J$5:$J$60,$A40,Bookings!$F$5:$F$60))</f>
        <v/>
      </c>
      <c r="K40" s="11">
        <f>IF(OR($A40="",NOT(ISNUMBER($F40))),"",$F40-$J40)</f>
        <v/>
      </c>
      <c r="L40" s="14">
        <f>IF(OR($A40="",NOT(ISNUMBER($F40))),"",IF($J40&gt;$F40,"OVER CAPACITY","ok"))</f>
        <v/>
      </c>
      <c r="M40" s="14">
        <f>IF(OR($E40="",$G40="",$H40=""),"",IF(SUMPRODUCT(($E$6:$E$45=$E40)*($B$6:$B$45=$B40)*($G$6:$G$45&lt;$H40)*($H$6:$H$45&gt;$G40))&gt;1,"VEHICLE CLASH","ok"))</f>
        <v/>
      </c>
      <c r="N40" s="11">
        <f>IF($E40="","",IFERROR(VLOOKUP($E40,Fleet_Table,4,FALSE),""))</f>
        <v/>
      </c>
      <c r="O40" s="8" t="n"/>
    </row>
    <row r="41">
      <c r="A41" s="8" t="n"/>
      <c r="B41" s="9" t="n"/>
      <c r="C41" s="8" t="n"/>
      <c r="D41" s="8" t="n"/>
      <c r="E41" s="8" t="n"/>
      <c r="F41" s="11">
        <f>IF($E41="","",IFERROR(VLOOKUP($E41,Fleet_Table,3,FALSE),"?"))</f>
        <v/>
      </c>
      <c r="G41" s="10" t="n"/>
      <c r="H41" s="10" t="n"/>
      <c r="I41" s="11">
        <f>IF($A41="","",COUNTIF(Bookings!$J$5:$J$60,$A41))</f>
        <v/>
      </c>
      <c r="J41" s="11">
        <f>IF($A41="","",SUMIF(Bookings!$J$5:$J$60,$A41,Bookings!$F$5:$F$60))</f>
        <v/>
      </c>
      <c r="K41" s="11">
        <f>IF(OR($A41="",NOT(ISNUMBER($F41))),"",$F41-$J41)</f>
        <v/>
      </c>
      <c r="L41" s="14">
        <f>IF(OR($A41="",NOT(ISNUMBER($F41))),"",IF($J41&gt;$F41,"OVER CAPACITY","ok"))</f>
        <v/>
      </c>
      <c r="M41" s="14">
        <f>IF(OR($E41="",$G41="",$H41=""),"",IF(SUMPRODUCT(($E$6:$E$45=$E41)*($B$6:$B$45=$B41)*($G$6:$G$45&lt;$H41)*($H$6:$H$45&gt;$G41))&gt;1,"VEHICLE CLASH","ok"))</f>
        <v/>
      </c>
      <c r="N41" s="11">
        <f>IF($E41="","",IFERROR(VLOOKUP($E41,Fleet_Table,4,FALSE),""))</f>
        <v/>
      </c>
      <c r="O41" s="8" t="n"/>
    </row>
    <row r="42">
      <c r="A42" s="8" t="n"/>
      <c r="B42" s="9" t="n"/>
      <c r="C42" s="8" t="n"/>
      <c r="D42" s="8" t="n"/>
      <c r="E42" s="8" t="n"/>
      <c r="F42" s="11">
        <f>IF($E42="","",IFERROR(VLOOKUP($E42,Fleet_Table,3,FALSE),"?"))</f>
        <v/>
      </c>
      <c r="G42" s="10" t="n"/>
      <c r="H42" s="10" t="n"/>
      <c r="I42" s="11">
        <f>IF($A42="","",COUNTIF(Bookings!$J$5:$J$60,$A42))</f>
        <v/>
      </c>
      <c r="J42" s="11">
        <f>IF($A42="","",SUMIF(Bookings!$J$5:$J$60,$A42,Bookings!$F$5:$F$60))</f>
        <v/>
      </c>
      <c r="K42" s="11">
        <f>IF(OR($A42="",NOT(ISNUMBER($F42))),"",$F42-$J42)</f>
        <v/>
      </c>
      <c r="L42" s="14">
        <f>IF(OR($A42="",NOT(ISNUMBER($F42))),"",IF($J42&gt;$F42,"OVER CAPACITY","ok"))</f>
        <v/>
      </c>
      <c r="M42" s="14">
        <f>IF(OR($E42="",$G42="",$H42=""),"",IF(SUMPRODUCT(($E$6:$E$45=$E42)*($B$6:$B$45=$B42)*($G$6:$G$45&lt;$H42)*($H$6:$H$45&gt;$G42))&gt;1,"VEHICLE CLASH","ok"))</f>
        <v/>
      </c>
      <c r="N42" s="11">
        <f>IF($E42="","",IFERROR(VLOOKUP($E42,Fleet_Table,4,FALSE),""))</f>
        <v/>
      </c>
      <c r="O42" s="8" t="n"/>
    </row>
    <row r="43">
      <c r="A43" s="8" t="n"/>
      <c r="B43" s="9" t="n"/>
      <c r="C43" s="8" t="n"/>
      <c r="D43" s="8" t="n"/>
      <c r="E43" s="8" t="n"/>
      <c r="F43" s="11">
        <f>IF($E43="","",IFERROR(VLOOKUP($E43,Fleet_Table,3,FALSE),"?"))</f>
        <v/>
      </c>
      <c r="G43" s="10" t="n"/>
      <c r="H43" s="10" t="n"/>
      <c r="I43" s="11">
        <f>IF($A43="","",COUNTIF(Bookings!$J$5:$J$60,$A43))</f>
        <v/>
      </c>
      <c r="J43" s="11">
        <f>IF($A43="","",SUMIF(Bookings!$J$5:$J$60,$A43,Bookings!$F$5:$F$60))</f>
        <v/>
      </c>
      <c r="K43" s="11">
        <f>IF(OR($A43="",NOT(ISNUMBER($F43))),"",$F43-$J43)</f>
        <v/>
      </c>
      <c r="L43" s="14">
        <f>IF(OR($A43="",NOT(ISNUMBER($F43))),"",IF($J43&gt;$F43,"OVER CAPACITY","ok"))</f>
        <v/>
      </c>
      <c r="M43" s="14">
        <f>IF(OR($E43="",$G43="",$H43=""),"",IF(SUMPRODUCT(($E$6:$E$45=$E43)*($B$6:$B$45=$B43)*($G$6:$G$45&lt;$H43)*($H$6:$H$45&gt;$G43))&gt;1,"VEHICLE CLASH","ok"))</f>
        <v/>
      </c>
      <c r="N43" s="11">
        <f>IF($E43="","",IFERROR(VLOOKUP($E43,Fleet_Table,4,FALSE),""))</f>
        <v/>
      </c>
      <c r="O43" s="8" t="n"/>
    </row>
    <row r="44">
      <c r="A44" s="8" t="n"/>
      <c r="B44" s="9" t="n"/>
      <c r="C44" s="8" t="n"/>
      <c r="D44" s="8" t="n"/>
      <c r="E44" s="8" t="n"/>
      <c r="F44" s="11">
        <f>IF($E44="","",IFERROR(VLOOKUP($E44,Fleet_Table,3,FALSE),"?"))</f>
        <v/>
      </c>
      <c r="G44" s="10" t="n"/>
      <c r="H44" s="10" t="n"/>
      <c r="I44" s="11">
        <f>IF($A44="","",COUNTIF(Bookings!$J$5:$J$60,$A44))</f>
        <v/>
      </c>
      <c r="J44" s="11">
        <f>IF($A44="","",SUMIF(Bookings!$J$5:$J$60,$A44,Bookings!$F$5:$F$60))</f>
        <v/>
      </c>
      <c r="K44" s="11">
        <f>IF(OR($A44="",NOT(ISNUMBER($F44))),"",$F44-$J44)</f>
        <v/>
      </c>
      <c r="L44" s="14">
        <f>IF(OR($A44="",NOT(ISNUMBER($F44))),"",IF($J44&gt;$F44,"OVER CAPACITY","ok"))</f>
        <v/>
      </c>
      <c r="M44" s="14">
        <f>IF(OR($E44="",$G44="",$H44=""),"",IF(SUMPRODUCT(($E$6:$E$45=$E44)*($B$6:$B$45=$B44)*($G$6:$G$45&lt;$H44)*($H$6:$H$45&gt;$G44))&gt;1,"VEHICLE CLASH","ok"))</f>
        <v/>
      </c>
      <c r="N44" s="11">
        <f>IF($E44="","",IFERROR(VLOOKUP($E44,Fleet_Table,4,FALSE),""))</f>
        <v/>
      </c>
      <c r="O44" s="8" t="n"/>
    </row>
    <row r="45">
      <c r="A45" s="8" t="n"/>
      <c r="B45" s="9" t="n"/>
      <c r="C45" s="8" t="n"/>
      <c r="D45" s="8" t="n"/>
      <c r="E45" s="8" t="n"/>
      <c r="F45" s="11">
        <f>IF($E45="","",IFERROR(VLOOKUP($E45,Fleet_Table,3,FALSE),"?"))</f>
        <v/>
      </c>
      <c r="G45" s="10" t="n"/>
      <c r="H45" s="10" t="n"/>
      <c r="I45" s="11">
        <f>IF($A45="","",COUNTIF(Bookings!$J$5:$J$60,$A45))</f>
        <v/>
      </c>
      <c r="J45" s="11">
        <f>IF($A45="","",SUMIF(Bookings!$J$5:$J$60,$A45,Bookings!$F$5:$F$60))</f>
        <v/>
      </c>
      <c r="K45" s="11">
        <f>IF(OR($A45="",NOT(ISNUMBER($F45))),"",$F45-$J45)</f>
        <v/>
      </c>
      <c r="L45" s="14">
        <f>IF(OR($A45="",NOT(ISNUMBER($F45))),"",IF($J45&gt;$F45,"OVER CAPACITY","ok"))</f>
        <v/>
      </c>
      <c r="M45" s="14">
        <f>IF(OR($E45="",$G45="",$H45=""),"",IF(SUMPRODUCT(($E$6:$E$45=$E45)*($B$6:$B$45=$B45)*($G$6:$G$45&lt;$H45)*($H$6:$H$45&gt;$G45))&gt;1,"VEHICLE CLASH","ok"))</f>
        <v/>
      </c>
      <c r="N45" s="11">
        <f>IF($E45="","",IFERROR(VLOOKUP($E45,Fleet_Table,4,FALSE),""))</f>
        <v/>
      </c>
      <c r="O45" s="8" t="n"/>
    </row>
  </sheetData>
  <conditionalFormatting sqref="A6:O45">
    <cfRule type="expression" priority="1" dxfId="1" stopIfTrue="0">
      <formula>OR($L6="OVER CAPACITY",$M6="VEHICLE CLASH")</formula>
    </cfRule>
  </conditionalFormatting>
  <conditionalFormatting sqref="L6:L45">
    <cfRule type="expression" priority="2" dxfId="2" stopIfTrue="1">
      <formula>$L6="ok"</formula>
    </cfRule>
    <cfRule type="expression" priority="3" dxfId="3" stopIfTrue="1">
      <formula>AND($L6&lt;&gt;"",$L6&lt;&gt;"ok")</formula>
    </cfRule>
  </conditionalFormatting>
  <conditionalFormatting sqref="M6:M45">
    <cfRule type="expression" priority="4" dxfId="2" stopIfTrue="1">
      <formula>$M6="ok"</formula>
    </cfRule>
    <cfRule type="expression" priority="5" dxfId="3" stopIfTrue="1">
      <formula>AND($M6&lt;&gt;"",$M6&lt;&gt;"ok")</formula>
    </cfRule>
  </conditionalFormatting>
  <conditionalFormatting sqref="K6:K45">
    <cfRule type="expression" priority="6" dxfId="3" stopIfTrue="0">
      <formula>AND(ISNUMBER($K6),$K6&lt;0)</formula>
    </cfRule>
  </conditionalFormatting>
  <dataValidations count="2">
    <dataValidation sqref="E6:E45" showDropDown="0" showInputMessage="0" showErrorMessage="0" allowBlank="1" type="list">
      <formula1>=Fleet_Vehicles</formula1>
    </dataValidation>
    <dataValidation sqref="C6:C45" showDropDown="0" showInputMessage="0" showErrorMessage="0" allowBlank="1" type="list">
      <formula1>"Arrival,Departure"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L48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26" customWidth="1" min="3" max="3"/>
    <col width="15" customWidth="1" min="4" max="4"/>
    <col width="7" customWidth="1" min="5" max="5"/>
    <col width="10" customWidth="1" min="6" max="6"/>
    <col width="10" customWidth="1" min="7" max="7"/>
    <col width="20" customWidth="1" min="8" max="8"/>
    <col width="34" customWidth="1" min="9" max="9"/>
    <col hidden="1" width="13" customWidth="1" min="12" max="12"/>
  </cols>
  <sheetData>
    <row r="1">
      <c r="A1" s="5" t="inlineStr">
        <is>
          <t>Run manifest</t>
        </is>
      </c>
    </row>
    <row r="2">
      <c r="A2" s="6" t="inlineStr">
        <is>
          <t>Pick a run in the shaded cell. Everything below builds itself. Try R05 and R08 to see a run that should not be printed.</t>
        </is>
      </c>
      <c r="L2">
        <f>IFERROR(MATCH($C$4,'Dispatch board'!$A$6:$A$45,0),"")</f>
        <v/>
      </c>
    </row>
    <row r="4">
      <c r="B4" s="12" t="inlineStr">
        <is>
          <t>Run</t>
        </is>
      </c>
      <c r="C4" s="15" t="inlineStr">
        <is>
          <t>R02</t>
        </is>
      </c>
    </row>
    <row r="6">
      <c r="B6" s="12" t="inlineStr">
        <is>
          <t>Date</t>
        </is>
      </c>
      <c r="C6" s="16">
        <f>IF($L$2="","",INDEX('Dispatch board'!$B$6:$B$45,$L$2))</f>
        <v/>
      </c>
      <c r="E6" s="12" t="inlineStr">
        <is>
          <t>Start</t>
        </is>
      </c>
      <c r="F6" s="17">
        <f>IF($L$2="","",INDEX('Dispatch board'!$G$6:$G$45,$L$2))</f>
        <v/>
      </c>
    </row>
    <row r="7">
      <c r="B7" s="12" t="inlineStr">
        <is>
          <t>Direction</t>
        </is>
      </c>
      <c r="C7" s="11">
        <f>IF($L$2="","",INDEX('Dispatch board'!$C$6:$C$45,$L$2))</f>
        <v/>
      </c>
      <c r="E7" s="12" t="inlineStr">
        <is>
          <t>End</t>
        </is>
      </c>
      <c r="F7" s="17">
        <f>IF($L$2="","",INDEX('Dispatch board'!$H$6:$H$45,$L$2))</f>
        <v/>
      </c>
    </row>
    <row r="8">
      <c r="B8" s="12" t="inlineStr">
        <is>
          <t>Route</t>
        </is>
      </c>
      <c r="C8" s="11">
        <f>IF($L$2="","",INDEX('Dispatch board'!$D$6:$D$45,$L$2))</f>
        <v/>
      </c>
      <c r="E8" s="12" t="inlineStr">
        <is>
          <t>Seats</t>
        </is>
      </c>
      <c r="F8" s="11">
        <f>IF($L$2="","",INDEX('Dispatch board'!$F$6:$F$45,$L$2))</f>
        <v/>
      </c>
    </row>
    <row r="9">
      <c r="B9" s="12" t="inlineStr">
        <is>
          <t>Vehicle</t>
        </is>
      </c>
      <c r="C9" s="11">
        <f>IF($L$2="","",INDEX('Dispatch board'!$E$6:$E$45,$L$2))</f>
        <v/>
      </c>
      <c r="E9" s="12" t="inlineStr">
        <is>
          <t>Pax on board</t>
        </is>
      </c>
      <c r="F9" s="11">
        <f>IF($L$2="","",INDEX('Dispatch board'!$J$6:$J$45,$L$2))</f>
        <v/>
      </c>
    </row>
    <row r="10">
      <c r="B10" s="12" t="inlineStr">
        <is>
          <t>Driver</t>
        </is>
      </c>
      <c r="C10" s="11">
        <f>IF($L$2="","",INDEX('Dispatch board'!$N$6:$N$45,$L$2))</f>
        <v/>
      </c>
      <c r="E10" s="12" t="inlineStr">
        <is>
          <t>Board says</t>
        </is>
      </c>
      <c r="F10" s="11">
        <f>IF($L$2="","",IF(INDEX('Dispatch board'!$L$6:$L$45,$L$2)&lt;&gt;"ok",INDEX('Dispatch board'!$L$6:$L$45,$L$2),IF(INDEX('Dispatch board'!$M$6:$M$45,$L$2)&lt;&gt;"ok",INDEX('Dispatch board'!$M$6:$M$45,$L$2),"ok")))</f>
        <v/>
      </c>
    </row>
    <row r="13" ht="22" customHeight="1">
      <c r="A13" s="18" t="inlineStr">
        <is>
          <t>#</t>
        </is>
      </c>
      <c r="B13" s="18" t="inlineStr">
        <is>
          <t>Booking ref</t>
        </is>
      </c>
      <c r="C13" s="18" t="inlineStr">
        <is>
          <t>Hotel</t>
        </is>
      </c>
      <c r="D13" s="18" t="inlineStr">
        <is>
          <t>Zone</t>
        </is>
      </c>
      <c r="E13" s="18" t="inlineStr">
        <is>
          <t>Pax</t>
        </is>
      </c>
      <c r="F13" s="18" t="inlineStr">
        <is>
          <t>Flight</t>
        </is>
      </c>
      <c r="G13" s="18" t="inlineStr">
        <is>
          <t>Sched</t>
        </is>
      </c>
      <c r="H13" s="18" t="inlineStr">
        <is>
          <t>Agency</t>
        </is>
      </c>
      <c r="I13" s="18" t="inlineStr">
        <is>
          <t>Notes</t>
        </is>
      </c>
    </row>
    <row r="14">
      <c r="A14" s="19">
        <f>IF($L14="","",1)</f>
        <v/>
      </c>
      <c r="B14" s="19">
        <f>IF($L14="","",INDEX(Bookings!$A$5:$A$60,$L14))</f>
        <v/>
      </c>
      <c r="C14" s="19">
        <f>IF($L14="","",INDEX(Bookings!$G$5:$G$60,$L14))</f>
        <v/>
      </c>
      <c r="D14" s="19">
        <f>IF($L14="","",INDEX(Bookings!$H$5:$H$60,$L14))</f>
        <v/>
      </c>
      <c r="E14" s="19">
        <f>IF($L14="","",INDEX(Bookings!$F$5:$F$60,$L14))</f>
        <v/>
      </c>
      <c r="F14" s="19">
        <f>IF($L14="","",INDEX(Bookings!$D$5:$D$60,$L14))</f>
        <v/>
      </c>
      <c r="G14" s="20">
        <f>IF($L14="","",INDEX(Bookings!$E$5:$E$60,$L14))</f>
        <v/>
      </c>
      <c r="H14" s="19">
        <f>IF($L14="","",INDEX(Bookings!$I$5:$I$60,$L14))</f>
        <v/>
      </c>
      <c r="I14" s="19">
        <f>IF($L14="","",INDEX(Bookings!$K$5:$K$60,$L14))</f>
        <v/>
      </c>
      <c r="L14">
        <f>IFERROR(MATCH(1,Bookings!$L$5:$L$60,0),"")</f>
        <v/>
      </c>
    </row>
    <row r="15">
      <c r="A15" s="21">
        <f>IF($L15="","",2)</f>
        <v/>
      </c>
      <c r="B15" s="21">
        <f>IF($L15="","",INDEX(Bookings!$A$5:$A$60,$L15))</f>
        <v/>
      </c>
      <c r="C15" s="21">
        <f>IF($L15="","",INDEX(Bookings!$G$5:$G$60,$L15))</f>
        <v/>
      </c>
      <c r="D15" s="21">
        <f>IF($L15="","",INDEX(Bookings!$H$5:$H$60,$L15))</f>
        <v/>
      </c>
      <c r="E15" s="21">
        <f>IF($L15="","",INDEX(Bookings!$F$5:$F$60,$L15))</f>
        <v/>
      </c>
      <c r="F15" s="21">
        <f>IF($L15="","",INDEX(Bookings!$D$5:$D$60,$L15))</f>
        <v/>
      </c>
      <c r="G15" s="22">
        <f>IF($L15="","",INDEX(Bookings!$E$5:$E$60,$L15))</f>
        <v/>
      </c>
      <c r="H15" s="21">
        <f>IF($L15="","",INDEX(Bookings!$I$5:$I$60,$L15))</f>
        <v/>
      </c>
      <c r="I15" s="21">
        <f>IF($L15="","",INDEX(Bookings!$K$5:$K$60,$L15))</f>
        <v/>
      </c>
      <c r="L15">
        <f>IFERROR(MATCH(2,Bookings!$L$5:$L$60,0),"")</f>
        <v/>
      </c>
    </row>
    <row r="16">
      <c r="A16" s="19">
        <f>IF($L16="","",3)</f>
        <v/>
      </c>
      <c r="B16" s="19">
        <f>IF($L16="","",INDEX(Bookings!$A$5:$A$60,$L16))</f>
        <v/>
      </c>
      <c r="C16" s="19">
        <f>IF($L16="","",INDEX(Bookings!$G$5:$G$60,$L16))</f>
        <v/>
      </c>
      <c r="D16" s="19">
        <f>IF($L16="","",INDEX(Bookings!$H$5:$H$60,$L16))</f>
        <v/>
      </c>
      <c r="E16" s="19">
        <f>IF($L16="","",INDEX(Bookings!$F$5:$F$60,$L16))</f>
        <v/>
      </c>
      <c r="F16" s="19">
        <f>IF($L16="","",INDEX(Bookings!$D$5:$D$60,$L16))</f>
        <v/>
      </c>
      <c r="G16" s="20">
        <f>IF($L16="","",INDEX(Bookings!$E$5:$E$60,$L16))</f>
        <v/>
      </c>
      <c r="H16" s="19">
        <f>IF($L16="","",INDEX(Bookings!$I$5:$I$60,$L16))</f>
        <v/>
      </c>
      <c r="I16" s="19">
        <f>IF($L16="","",INDEX(Bookings!$K$5:$K$60,$L16))</f>
        <v/>
      </c>
      <c r="L16">
        <f>IFERROR(MATCH(3,Bookings!$L$5:$L$60,0),"")</f>
        <v/>
      </c>
    </row>
    <row r="17">
      <c r="A17" s="21">
        <f>IF($L17="","",4)</f>
        <v/>
      </c>
      <c r="B17" s="21">
        <f>IF($L17="","",INDEX(Bookings!$A$5:$A$60,$L17))</f>
        <v/>
      </c>
      <c r="C17" s="21">
        <f>IF($L17="","",INDEX(Bookings!$G$5:$G$60,$L17))</f>
        <v/>
      </c>
      <c r="D17" s="21">
        <f>IF($L17="","",INDEX(Bookings!$H$5:$H$60,$L17))</f>
        <v/>
      </c>
      <c r="E17" s="21">
        <f>IF($L17="","",INDEX(Bookings!$F$5:$F$60,$L17))</f>
        <v/>
      </c>
      <c r="F17" s="21">
        <f>IF($L17="","",INDEX(Bookings!$D$5:$D$60,$L17))</f>
        <v/>
      </c>
      <c r="G17" s="22">
        <f>IF($L17="","",INDEX(Bookings!$E$5:$E$60,$L17))</f>
        <v/>
      </c>
      <c r="H17" s="21">
        <f>IF($L17="","",INDEX(Bookings!$I$5:$I$60,$L17))</f>
        <v/>
      </c>
      <c r="I17" s="21">
        <f>IF($L17="","",INDEX(Bookings!$K$5:$K$60,$L17))</f>
        <v/>
      </c>
      <c r="L17">
        <f>IFERROR(MATCH(4,Bookings!$L$5:$L$60,0),"")</f>
        <v/>
      </c>
    </row>
    <row r="18">
      <c r="A18" s="19">
        <f>IF($L18="","",5)</f>
        <v/>
      </c>
      <c r="B18" s="19">
        <f>IF($L18="","",INDEX(Bookings!$A$5:$A$60,$L18))</f>
        <v/>
      </c>
      <c r="C18" s="19">
        <f>IF($L18="","",INDEX(Bookings!$G$5:$G$60,$L18))</f>
        <v/>
      </c>
      <c r="D18" s="19">
        <f>IF($L18="","",INDEX(Bookings!$H$5:$H$60,$L18))</f>
        <v/>
      </c>
      <c r="E18" s="19">
        <f>IF($L18="","",INDEX(Bookings!$F$5:$F$60,$L18))</f>
        <v/>
      </c>
      <c r="F18" s="19">
        <f>IF($L18="","",INDEX(Bookings!$D$5:$D$60,$L18))</f>
        <v/>
      </c>
      <c r="G18" s="20">
        <f>IF($L18="","",INDEX(Bookings!$E$5:$E$60,$L18))</f>
        <v/>
      </c>
      <c r="H18" s="19">
        <f>IF($L18="","",INDEX(Bookings!$I$5:$I$60,$L18))</f>
        <v/>
      </c>
      <c r="I18" s="19">
        <f>IF($L18="","",INDEX(Bookings!$K$5:$K$60,$L18))</f>
        <v/>
      </c>
      <c r="L18">
        <f>IFERROR(MATCH(5,Bookings!$L$5:$L$60,0),"")</f>
        <v/>
      </c>
    </row>
    <row r="19">
      <c r="A19" s="21">
        <f>IF($L19="","",6)</f>
        <v/>
      </c>
      <c r="B19" s="21">
        <f>IF($L19="","",INDEX(Bookings!$A$5:$A$60,$L19))</f>
        <v/>
      </c>
      <c r="C19" s="21">
        <f>IF($L19="","",INDEX(Bookings!$G$5:$G$60,$L19))</f>
        <v/>
      </c>
      <c r="D19" s="21">
        <f>IF($L19="","",INDEX(Bookings!$H$5:$H$60,$L19))</f>
        <v/>
      </c>
      <c r="E19" s="21">
        <f>IF($L19="","",INDEX(Bookings!$F$5:$F$60,$L19))</f>
        <v/>
      </c>
      <c r="F19" s="21">
        <f>IF($L19="","",INDEX(Bookings!$D$5:$D$60,$L19))</f>
        <v/>
      </c>
      <c r="G19" s="22">
        <f>IF($L19="","",INDEX(Bookings!$E$5:$E$60,$L19))</f>
        <v/>
      </c>
      <c r="H19" s="21">
        <f>IF($L19="","",INDEX(Bookings!$I$5:$I$60,$L19))</f>
        <v/>
      </c>
      <c r="I19" s="21">
        <f>IF($L19="","",INDEX(Bookings!$K$5:$K$60,$L19))</f>
        <v/>
      </c>
      <c r="L19">
        <f>IFERROR(MATCH(6,Bookings!$L$5:$L$60,0),"")</f>
        <v/>
      </c>
    </row>
    <row r="20">
      <c r="A20" s="19">
        <f>IF($L20="","",7)</f>
        <v/>
      </c>
      <c r="B20" s="19">
        <f>IF($L20="","",INDEX(Bookings!$A$5:$A$60,$L20))</f>
        <v/>
      </c>
      <c r="C20" s="19">
        <f>IF($L20="","",INDEX(Bookings!$G$5:$G$60,$L20))</f>
        <v/>
      </c>
      <c r="D20" s="19">
        <f>IF($L20="","",INDEX(Bookings!$H$5:$H$60,$L20))</f>
        <v/>
      </c>
      <c r="E20" s="19">
        <f>IF($L20="","",INDEX(Bookings!$F$5:$F$60,$L20))</f>
        <v/>
      </c>
      <c r="F20" s="19">
        <f>IF($L20="","",INDEX(Bookings!$D$5:$D$60,$L20))</f>
        <v/>
      </c>
      <c r="G20" s="20">
        <f>IF($L20="","",INDEX(Bookings!$E$5:$E$60,$L20))</f>
        <v/>
      </c>
      <c r="H20" s="19">
        <f>IF($L20="","",INDEX(Bookings!$I$5:$I$60,$L20))</f>
        <v/>
      </c>
      <c r="I20" s="19">
        <f>IF($L20="","",INDEX(Bookings!$K$5:$K$60,$L20))</f>
        <v/>
      </c>
      <c r="L20">
        <f>IFERROR(MATCH(7,Bookings!$L$5:$L$60,0),"")</f>
        <v/>
      </c>
    </row>
    <row r="21">
      <c r="A21" s="21">
        <f>IF($L21="","",8)</f>
        <v/>
      </c>
      <c r="B21" s="21">
        <f>IF($L21="","",INDEX(Bookings!$A$5:$A$60,$L21))</f>
        <v/>
      </c>
      <c r="C21" s="21">
        <f>IF($L21="","",INDEX(Bookings!$G$5:$G$60,$L21))</f>
        <v/>
      </c>
      <c r="D21" s="21">
        <f>IF($L21="","",INDEX(Bookings!$H$5:$H$60,$L21))</f>
        <v/>
      </c>
      <c r="E21" s="21">
        <f>IF($L21="","",INDEX(Bookings!$F$5:$F$60,$L21))</f>
        <v/>
      </c>
      <c r="F21" s="21">
        <f>IF($L21="","",INDEX(Bookings!$D$5:$D$60,$L21))</f>
        <v/>
      </c>
      <c r="G21" s="22">
        <f>IF($L21="","",INDEX(Bookings!$E$5:$E$60,$L21))</f>
        <v/>
      </c>
      <c r="H21" s="21">
        <f>IF($L21="","",INDEX(Bookings!$I$5:$I$60,$L21))</f>
        <v/>
      </c>
      <c r="I21" s="21">
        <f>IF($L21="","",INDEX(Bookings!$K$5:$K$60,$L21))</f>
        <v/>
      </c>
      <c r="L21">
        <f>IFERROR(MATCH(8,Bookings!$L$5:$L$60,0),"")</f>
        <v/>
      </c>
    </row>
    <row r="22">
      <c r="A22" s="19">
        <f>IF($L22="","",9)</f>
        <v/>
      </c>
      <c r="B22" s="19">
        <f>IF($L22="","",INDEX(Bookings!$A$5:$A$60,$L22))</f>
        <v/>
      </c>
      <c r="C22" s="19">
        <f>IF($L22="","",INDEX(Bookings!$G$5:$G$60,$L22))</f>
        <v/>
      </c>
      <c r="D22" s="19">
        <f>IF($L22="","",INDEX(Bookings!$H$5:$H$60,$L22))</f>
        <v/>
      </c>
      <c r="E22" s="19">
        <f>IF($L22="","",INDEX(Bookings!$F$5:$F$60,$L22))</f>
        <v/>
      </c>
      <c r="F22" s="19">
        <f>IF($L22="","",INDEX(Bookings!$D$5:$D$60,$L22))</f>
        <v/>
      </c>
      <c r="G22" s="20">
        <f>IF($L22="","",INDEX(Bookings!$E$5:$E$60,$L22))</f>
        <v/>
      </c>
      <c r="H22" s="19">
        <f>IF($L22="","",INDEX(Bookings!$I$5:$I$60,$L22))</f>
        <v/>
      </c>
      <c r="I22" s="19">
        <f>IF($L22="","",INDEX(Bookings!$K$5:$K$60,$L22))</f>
        <v/>
      </c>
      <c r="L22">
        <f>IFERROR(MATCH(9,Bookings!$L$5:$L$60,0),"")</f>
        <v/>
      </c>
    </row>
    <row r="23">
      <c r="A23" s="21">
        <f>IF($L23="","",10)</f>
        <v/>
      </c>
      <c r="B23" s="21">
        <f>IF($L23="","",INDEX(Bookings!$A$5:$A$60,$L23))</f>
        <v/>
      </c>
      <c r="C23" s="21">
        <f>IF($L23="","",INDEX(Bookings!$G$5:$G$60,$L23))</f>
        <v/>
      </c>
      <c r="D23" s="21">
        <f>IF($L23="","",INDEX(Bookings!$H$5:$H$60,$L23))</f>
        <v/>
      </c>
      <c r="E23" s="21">
        <f>IF($L23="","",INDEX(Bookings!$F$5:$F$60,$L23))</f>
        <v/>
      </c>
      <c r="F23" s="21">
        <f>IF($L23="","",INDEX(Bookings!$D$5:$D$60,$L23))</f>
        <v/>
      </c>
      <c r="G23" s="22">
        <f>IF($L23="","",INDEX(Bookings!$E$5:$E$60,$L23))</f>
        <v/>
      </c>
      <c r="H23" s="21">
        <f>IF($L23="","",INDEX(Bookings!$I$5:$I$60,$L23))</f>
        <v/>
      </c>
      <c r="I23" s="21">
        <f>IF($L23="","",INDEX(Bookings!$K$5:$K$60,$L23))</f>
        <v/>
      </c>
      <c r="L23">
        <f>IFERROR(MATCH(10,Bookings!$L$5:$L$60,0),"")</f>
        <v/>
      </c>
    </row>
    <row r="24">
      <c r="A24" s="19">
        <f>IF($L24="","",11)</f>
        <v/>
      </c>
      <c r="B24" s="19">
        <f>IF($L24="","",INDEX(Bookings!$A$5:$A$60,$L24))</f>
        <v/>
      </c>
      <c r="C24" s="19">
        <f>IF($L24="","",INDEX(Bookings!$G$5:$G$60,$L24))</f>
        <v/>
      </c>
      <c r="D24" s="19">
        <f>IF($L24="","",INDEX(Bookings!$H$5:$H$60,$L24))</f>
        <v/>
      </c>
      <c r="E24" s="19">
        <f>IF($L24="","",INDEX(Bookings!$F$5:$F$60,$L24))</f>
        <v/>
      </c>
      <c r="F24" s="19">
        <f>IF($L24="","",INDEX(Bookings!$D$5:$D$60,$L24))</f>
        <v/>
      </c>
      <c r="G24" s="20">
        <f>IF($L24="","",INDEX(Bookings!$E$5:$E$60,$L24))</f>
        <v/>
      </c>
      <c r="H24" s="19">
        <f>IF($L24="","",INDEX(Bookings!$I$5:$I$60,$L24))</f>
        <v/>
      </c>
      <c r="I24" s="19">
        <f>IF($L24="","",INDEX(Bookings!$K$5:$K$60,$L24))</f>
        <v/>
      </c>
      <c r="L24">
        <f>IFERROR(MATCH(11,Bookings!$L$5:$L$60,0),"")</f>
        <v/>
      </c>
    </row>
    <row r="25">
      <c r="A25" s="21">
        <f>IF($L25="","",12)</f>
        <v/>
      </c>
      <c r="B25" s="21">
        <f>IF($L25="","",INDEX(Bookings!$A$5:$A$60,$L25))</f>
        <v/>
      </c>
      <c r="C25" s="21">
        <f>IF($L25="","",INDEX(Bookings!$G$5:$G$60,$L25))</f>
        <v/>
      </c>
      <c r="D25" s="21">
        <f>IF($L25="","",INDEX(Bookings!$H$5:$H$60,$L25))</f>
        <v/>
      </c>
      <c r="E25" s="21">
        <f>IF($L25="","",INDEX(Bookings!$F$5:$F$60,$L25))</f>
        <v/>
      </c>
      <c r="F25" s="21">
        <f>IF($L25="","",INDEX(Bookings!$D$5:$D$60,$L25))</f>
        <v/>
      </c>
      <c r="G25" s="22">
        <f>IF($L25="","",INDEX(Bookings!$E$5:$E$60,$L25))</f>
        <v/>
      </c>
      <c r="H25" s="21">
        <f>IF($L25="","",INDEX(Bookings!$I$5:$I$60,$L25))</f>
        <v/>
      </c>
      <c r="I25" s="21">
        <f>IF($L25="","",INDEX(Bookings!$K$5:$K$60,$L25))</f>
        <v/>
      </c>
      <c r="L25">
        <f>IFERROR(MATCH(12,Bookings!$L$5:$L$60,0),"")</f>
        <v/>
      </c>
    </row>
    <row r="26">
      <c r="A26" s="19">
        <f>IF($L26="","",13)</f>
        <v/>
      </c>
      <c r="B26" s="19">
        <f>IF($L26="","",INDEX(Bookings!$A$5:$A$60,$L26))</f>
        <v/>
      </c>
      <c r="C26" s="19">
        <f>IF($L26="","",INDEX(Bookings!$G$5:$G$60,$L26))</f>
        <v/>
      </c>
      <c r="D26" s="19">
        <f>IF($L26="","",INDEX(Bookings!$H$5:$H$60,$L26))</f>
        <v/>
      </c>
      <c r="E26" s="19">
        <f>IF($L26="","",INDEX(Bookings!$F$5:$F$60,$L26))</f>
        <v/>
      </c>
      <c r="F26" s="19">
        <f>IF($L26="","",INDEX(Bookings!$D$5:$D$60,$L26))</f>
        <v/>
      </c>
      <c r="G26" s="20">
        <f>IF($L26="","",INDEX(Bookings!$E$5:$E$60,$L26))</f>
        <v/>
      </c>
      <c r="H26" s="19">
        <f>IF($L26="","",INDEX(Bookings!$I$5:$I$60,$L26))</f>
        <v/>
      </c>
      <c r="I26" s="19">
        <f>IF($L26="","",INDEX(Bookings!$K$5:$K$60,$L26))</f>
        <v/>
      </c>
      <c r="L26">
        <f>IFERROR(MATCH(13,Bookings!$L$5:$L$60,0),"")</f>
        <v/>
      </c>
    </row>
    <row r="27">
      <c r="A27" s="21">
        <f>IF($L27="","",14)</f>
        <v/>
      </c>
      <c r="B27" s="21">
        <f>IF($L27="","",INDEX(Bookings!$A$5:$A$60,$L27))</f>
        <v/>
      </c>
      <c r="C27" s="21">
        <f>IF($L27="","",INDEX(Bookings!$G$5:$G$60,$L27))</f>
        <v/>
      </c>
      <c r="D27" s="21">
        <f>IF($L27="","",INDEX(Bookings!$H$5:$H$60,$L27))</f>
        <v/>
      </c>
      <c r="E27" s="21">
        <f>IF($L27="","",INDEX(Bookings!$F$5:$F$60,$L27))</f>
        <v/>
      </c>
      <c r="F27" s="21">
        <f>IF($L27="","",INDEX(Bookings!$D$5:$D$60,$L27))</f>
        <v/>
      </c>
      <c r="G27" s="22">
        <f>IF($L27="","",INDEX(Bookings!$E$5:$E$60,$L27))</f>
        <v/>
      </c>
      <c r="H27" s="21">
        <f>IF($L27="","",INDEX(Bookings!$I$5:$I$60,$L27))</f>
        <v/>
      </c>
      <c r="I27" s="21">
        <f>IF($L27="","",INDEX(Bookings!$K$5:$K$60,$L27))</f>
        <v/>
      </c>
      <c r="L27">
        <f>IFERROR(MATCH(14,Bookings!$L$5:$L$60,0),"")</f>
        <v/>
      </c>
    </row>
    <row r="28">
      <c r="A28" s="19">
        <f>IF($L28="","",15)</f>
        <v/>
      </c>
      <c r="B28" s="19">
        <f>IF($L28="","",INDEX(Bookings!$A$5:$A$60,$L28))</f>
        <v/>
      </c>
      <c r="C28" s="19">
        <f>IF($L28="","",INDEX(Bookings!$G$5:$G$60,$L28))</f>
        <v/>
      </c>
      <c r="D28" s="19">
        <f>IF($L28="","",INDEX(Bookings!$H$5:$H$60,$L28))</f>
        <v/>
      </c>
      <c r="E28" s="19">
        <f>IF($L28="","",INDEX(Bookings!$F$5:$F$60,$L28))</f>
        <v/>
      </c>
      <c r="F28" s="19">
        <f>IF($L28="","",INDEX(Bookings!$D$5:$D$60,$L28))</f>
        <v/>
      </c>
      <c r="G28" s="20">
        <f>IF($L28="","",INDEX(Bookings!$E$5:$E$60,$L28))</f>
        <v/>
      </c>
      <c r="H28" s="19">
        <f>IF($L28="","",INDEX(Bookings!$I$5:$I$60,$L28))</f>
        <v/>
      </c>
      <c r="I28" s="19">
        <f>IF($L28="","",INDEX(Bookings!$K$5:$K$60,$L28))</f>
        <v/>
      </c>
      <c r="L28">
        <f>IFERROR(MATCH(15,Bookings!$L$5:$L$60,0),"")</f>
        <v/>
      </c>
    </row>
    <row r="29">
      <c r="A29" s="21">
        <f>IF($L29="","",16)</f>
        <v/>
      </c>
      <c r="B29" s="21">
        <f>IF($L29="","",INDEX(Bookings!$A$5:$A$60,$L29))</f>
        <v/>
      </c>
      <c r="C29" s="21">
        <f>IF($L29="","",INDEX(Bookings!$G$5:$G$60,$L29))</f>
        <v/>
      </c>
      <c r="D29" s="21">
        <f>IF($L29="","",INDEX(Bookings!$H$5:$H$60,$L29))</f>
        <v/>
      </c>
      <c r="E29" s="21">
        <f>IF($L29="","",INDEX(Bookings!$F$5:$F$60,$L29))</f>
        <v/>
      </c>
      <c r="F29" s="21">
        <f>IF($L29="","",INDEX(Bookings!$D$5:$D$60,$L29))</f>
        <v/>
      </c>
      <c r="G29" s="22">
        <f>IF($L29="","",INDEX(Bookings!$E$5:$E$60,$L29))</f>
        <v/>
      </c>
      <c r="H29" s="21">
        <f>IF($L29="","",INDEX(Bookings!$I$5:$I$60,$L29))</f>
        <v/>
      </c>
      <c r="I29" s="21">
        <f>IF($L29="","",INDEX(Bookings!$K$5:$K$60,$L29))</f>
        <v/>
      </c>
      <c r="L29">
        <f>IFERROR(MATCH(16,Bookings!$L$5:$L$60,0),"")</f>
        <v/>
      </c>
    </row>
    <row r="30">
      <c r="A30" s="19">
        <f>IF($L30="","",17)</f>
        <v/>
      </c>
      <c r="B30" s="19">
        <f>IF($L30="","",INDEX(Bookings!$A$5:$A$60,$L30))</f>
        <v/>
      </c>
      <c r="C30" s="19">
        <f>IF($L30="","",INDEX(Bookings!$G$5:$G$60,$L30))</f>
        <v/>
      </c>
      <c r="D30" s="19">
        <f>IF($L30="","",INDEX(Bookings!$H$5:$H$60,$L30))</f>
        <v/>
      </c>
      <c r="E30" s="19">
        <f>IF($L30="","",INDEX(Bookings!$F$5:$F$60,$L30))</f>
        <v/>
      </c>
      <c r="F30" s="19">
        <f>IF($L30="","",INDEX(Bookings!$D$5:$D$60,$L30))</f>
        <v/>
      </c>
      <c r="G30" s="20">
        <f>IF($L30="","",INDEX(Bookings!$E$5:$E$60,$L30))</f>
        <v/>
      </c>
      <c r="H30" s="19">
        <f>IF($L30="","",INDEX(Bookings!$I$5:$I$60,$L30))</f>
        <v/>
      </c>
      <c r="I30" s="19">
        <f>IF($L30="","",INDEX(Bookings!$K$5:$K$60,$L30))</f>
        <v/>
      </c>
      <c r="L30">
        <f>IFERROR(MATCH(17,Bookings!$L$5:$L$60,0),"")</f>
        <v/>
      </c>
    </row>
    <row r="31">
      <c r="A31" s="21">
        <f>IF($L31="","",18)</f>
        <v/>
      </c>
      <c r="B31" s="21">
        <f>IF($L31="","",INDEX(Bookings!$A$5:$A$60,$L31))</f>
        <v/>
      </c>
      <c r="C31" s="21">
        <f>IF($L31="","",INDEX(Bookings!$G$5:$G$60,$L31))</f>
        <v/>
      </c>
      <c r="D31" s="21">
        <f>IF($L31="","",INDEX(Bookings!$H$5:$H$60,$L31))</f>
        <v/>
      </c>
      <c r="E31" s="21">
        <f>IF($L31="","",INDEX(Bookings!$F$5:$F$60,$L31))</f>
        <v/>
      </c>
      <c r="F31" s="21">
        <f>IF($L31="","",INDEX(Bookings!$D$5:$D$60,$L31))</f>
        <v/>
      </c>
      <c r="G31" s="22">
        <f>IF($L31="","",INDEX(Bookings!$E$5:$E$60,$L31))</f>
        <v/>
      </c>
      <c r="H31" s="21">
        <f>IF($L31="","",INDEX(Bookings!$I$5:$I$60,$L31))</f>
        <v/>
      </c>
      <c r="I31" s="21">
        <f>IF($L31="","",INDEX(Bookings!$K$5:$K$60,$L31))</f>
        <v/>
      </c>
      <c r="L31">
        <f>IFERROR(MATCH(18,Bookings!$L$5:$L$60,0),"")</f>
        <v/>
      </c>
    </row>
    <row r="32">
      <c r="A32" s="19">
        <f>IF($L32="","",19)</f>
        <v/>
      </c>
      <c r="B32" s="19">
        <f>IF($L32="","",INDEX(Bookings!$A$5:$A$60,$L32))</f>
        <v/>
      </c>
      <c r="C32" s="19">
        <f>IF($L32="","",INDEX(Bookings!$G$5:$G$60,$L32))</f>
        <v/>
      </c>
      <c r="D32" s="19">
        <f>IF($L32="","",INDEX(Bookings!$H$5:$H$60,$L32))</f>
        <v/>
      </c>
      <c r="E32" s="19">
        <f>IF($L32="","",INDEX(Bookings!$F$5:$F$60,$L32))</f>
        <v/>
      </c>
      <c r="F32" s="19">
        <f>IF($L32="","",INDEX(Bookings!$D$5:$D$60,$L32))</f>
        <v/>
      </c>
      <c r="G32" s="20">
        <f>IF($L32="","",INDEX(Bookings!$E$5:$E$60,$L32))</f>
        <v/>
      </c>
      <c r="H32" s="19">
        <f>IF($L32="","",INDEX(Bookings!$I$5:$I$60,$L32))</f>
        <v/>
      </c>
      <c r="I32" s="19">
        <f>IF($L32="","",INDEX(Bookings!$K$5:$K$60,$L32))</f>
        <v/>
      </c>
      <c r="L32">
        <f>IFERROR(MATCH(19,Bookings!$L$5:$L$60,0),"")</f>
        <v/>
      </c>
    </row>
    <row r="33">
      <c r="A33" s="21">
        <f>IF($L33="","",20)</f>
        <v/>
      </c>
      <c r="B33" s="21">
        <f>IF($L33="","",INDEX(Bookings!$A$5:$A$60,$L33))</f>
        <v/>
      </c>
      <c r="C33" s="21">
        <f>IF($L33="","",INDEX(Bookings!$G$5:$G$60,$L33))</f>
        <v/>
      </c>
      <c r="D33" s="21">
        <f>IF($L33="","",INDEX(Bookings!$H$5:$H$60,$L33))</f>
        <v/>
      </c>
      <c r="E33" s="21">
        <f>IF($L33="","",INDEX(Bookings!$F$5:$F$60,$L33))</f>
        <v/>
      </c>
      <c r="F33" s="21">
        <f>IF($L33="","",INDEX(Bookings!$D$5:$D$60,$L33))</f>
        <v/>
      </c>
      <c r="G33" s="22">
        <f>IF($L33="","",INDEX(Bookings!$E$5:$E$60,$L33))</f>
        <v/>
      </c>
      <c r="H33" s="21">
        <f>IF($L33="","",INDEX(Bookings!$I$5:$I$60,$L33))</f>
        <v/>
      </c>
      <c r="I33" s="21">
        <f>IF($L33="","",INDEX(Bookings!$K$5:$K$60,$L33))</f>
        <v/>
      </c>
      <c r="L33">
        <f>IFERROR(MATCH(20,Bookings!$L$5:$L$60,0),"")</f>
        <v/>
      </c>
    </row>
    <row r="34">
      <c r="A34" s="19">
        <f>IF($L34="","",21)</f>
        <v/>
      </c>
      <c r="B34" s="19">
        <f>IF($L34="","",INDEX(Bookings!$A$5:$A$60,$L34))</f>
        <v/>
      </c>
      <c r="C34" s="19">
        <f>IF($L34="","",INDEX(Bookings!$G$5:$G$60,$L34))</f>
        <v/>
      </c>
      <c r="D34" s="19">
        <f>IF($L34="","",INDEX(Bookings!$H$5:$H$60,$L34))</f>
        <v/>
      </c>
      <c r="E34" s="19">
        <f>IF($L34="","",INDEX(Bookings!$F$5:$F$60,$L34))</f>
        <v/>
      </c>
      <c r="F34" s="19">
        <f>IF($L34="","",INDEX(Bookings!$D$5:$D$60,$L34))</f>
        <v/>
      </c>
      <c r="G34" s="20">
        <f>IF($L34="","",INDEX(Bookings!$E$5:$E$60,$L34))</f>
        <v/>
      </c>
      <c r="H34" s="19">
        <f>IF($L34="","",INDEX(Bookings!$I$5:$I$60,$L34))</f>
        <v/>
      </c>
      <c r="I34" s="19">
        <f>IF($L34="","",INDEX(Bookings!$K$5:$K$60,$L34))</f>
        <v/>
      </c>
      <c r="L34">
        <f>IFERROR(MATCH(21,Bookings!$L$5:$L$60,0),"")</f>
        <v/>
      </c>
    </row>
    <row r="35">
      <c r="A35" s="21">
        <f>IF($L35="","",22)</f>
        <v/>
      </c>
      <c r="B35" s="21">
        <f>IF($L35="","",INDEX(Bookings!$A$5:$A$60,$L35))</f>
        <v/>
      </c>
      <c r="C35" s="21">
        <f>IF($L35="","",INDEX(Bookings!$G$5:$G$60,$L35))</f>
        <v/>
      </c>
      <c r="D35" s="21">
        <f>IF($L35="","",INDEX(Bookings!$H$5:$H$60,$L35))</f>
        <v/>
      </c>
      <c r="E35" s="21">
        <f>IF($L35="","",INDEX(Bookings!$F$5:$F$60,$L35))</f>
        <v/>
      </c>
      <c r="F35" s="21">
        <f>IF($L35="","",INDEX(Bookings!$D$5:$D$60,$L35))</f>
        <v/>
      </c>
      <c r="G35" s="22">
        <f>IF($L35="","",INDEX(Bookings!$E$5:$E$60,$L35))</f>
        <v/>
      </c>
      <c r="H35" s="21">
        <f>IF($L35="","",INDEX(Bookings!$I$5:$I$60,$L35))</f>
        <v/>
      </c>
      <c r="I35" s="21">
        <f>IF($L35="","",INDEX(Bookings!$K$5:$K$60,$L35))</f>
        <v/>
      </c>
      <c r="L35">
        <f>IFERROR(MATCH(22,Bookings!$L$5:$L$60,0),"")</f>
        <v/>
      </c>
    </row>
    <row r="36">
      <c r="A36" s="19">
        <f>IF($L36="","",23)</f>
        <v/>
      </c>
      <c r="B36" s="19">
        <f>IF($L36="","",INDEX(Bookings!$A$5:$A$60,$L36))</f>
        <v/>
      </c>
      <c r="C36" s="19">
        <f>IF($L36="","",INDEX(Bookings!$G$5:$G$60,$L36))</f>
        <v/>
      </c>
      <c r="D36" s="19">
        <f>IF($L36="","",INDEX(Bookings!$H$5:$H$60,$L36))</f>
        <v/>
      </c>
      <c r="E36" s="19">
        <f>IF($L36="","",INDEX(Bookings!$F$5:$F$60,$L36))</f>
        <v/>
      </c>
      <c r="F36" s="19">
        <f>IF($L36="","",INDEX(Bookings!$D$5:$D$60,$L36))</f>
        <v/>
      </c>
      <c r="G36" s="20">
        <f>IF($L36="","",INDEX(Bookings!$E$5:$E$60,$L36))</f>
        <v/>
      </c>
      <c r="H36" s="19">
        <f>IF($L36="","",INDEX(Bookings!$I$5:$I$60,$L36))</f>
        <v/>
      </c>
      <c r="I36" s="19">
        <f>IF($L36="","",INDEX(Bookings!$K$5:$K$60,$L36))</f>
        <v/>
      </c>
      <c r="L36">
        <f>IFERROR(MATCH(23,Bookings!$L$5:$L$60,0),"")</f>
        <v/>
      </c>
    </row>
    <row r="37">
      <c r="A37" s="21">
        <f>IF($L37="","",24)</f>
        <v/>
      </c>
      <c r="B37" s="21">
        <f>IF($L37="","",INDEX(Bookings!$A$5:$A$60,$L37))</f>
        <v/>
      </c>
      <c r="C37" s="21">
        <f>IF($L37="","",INDEX(Bookings!$G$5:$G$60,$L37))</f>
        <v/>
      </c>
      <c r="D37" s="21">
        <f>IF($L37="","",INDEX(Bookings!$H$5:$H$60,$L37))</f>
        <v/>
      </c>
      <c r="E37" s="21">
        <f>IF($L37="","",INDEX(Bookings!$F$5:$F$60,$L37))</f>
        <v/>
      </c>
      <c r="F37" s="21">
        <f>IF($L37="","",INDEX(Bookings!$D$5:$D$60,$L37))</f>
        <v/>
      </c>
      <c r="G37" s="22">
        <f>IF($L37="","",INDEX(Bookings!$E$5:$E$60,$L37))</f>
        <v/>
      </c>
      <c r="H37" s="21">
        <f>IF($L37="","",INDEX(Bookings!$I$5:$I$60,$L37))</f>
        <v/>
      </c>
      <c r="I37" s="21">
        <f>IF($L37="","",INDEX(Bookings!$K$5:$K$60,$L37))</f>
        <v/>
      </c>
      <c r="L37">
        <f>IFERROR(MATCH(24,Bookings!$L$5:$L$60,0),"")</f>
        <v/>
      </c>
    </row>
    <row r="38">
      <c r="A38" s="19">
        <f>IF($L38="","",25)</f>
        <v/>
      </c>
      <c r="B38" s="19">
        <f>IF($L38="","",INDEX(Bookings!$A$5:$A$60,$L38))</f>
        <v/>
      </c>
      <c r="C38" s="19">
        <f>IF($L38="","",INDEX(Bookings!$G$5:$G$60,$L38))</f>
        <v/>
      </c>
      <c r="D38" s="19">
        <f>IF($L38="","",INDEX(Bookings!$H$5:$H$60,$L38))</f>
        <v/>
      </c>
      <c r="E38" s="19">
        <f>IF($L38="","",INDEX(Bookings!$F$5:$F$60,$L38))</f>
        <v/>
      </c>
      <c r="F38" s="19">
        <f>IF($L38="","",INDEX(Bookings!$D$5:$D$60,$L38))</f>
        <v/>
      </c>
      <c r="G38" s="20">
        <f>IF($L38="","",INDEX(Bookings!$E$5:$E$60,$L38))</f>
        <v/>
      </c>
      <c r="H38" s="19">
        <f>IF($L38="","",INDEX(Bookings!$I$5:$I$60,$L38))</f>
        <v/>
      </c>
      <c r="I38" s="19">
        <f>IF($L38="","",INDEX(Bookings!$K$5:$K$60,$L38))</f>
        <v/>
      </c>
      <c r="L38">
        <f>IFERROR(MATCH(25,Bookings!$L$5:$L$60,0),"")</f>
        <v/>
      </c>
    </row>
    <row r="39">
      <c r="A39" s="21">
        <f>IF($L39="","",26)</f>
        <v/>
      </c>
      <c r="B39" s="21">
        <f>IF($L39="","",INDEX(Bookings!$A$5:$A$60,$L39))</f>
        <v/>
      </c>
      <c r="C39" s="21">
        <f>IF($L39="","",INDEX(Bookings!$G$5:$G$60,$L39))</f>
        <v/>
      </c>
      <c r="D39" s="21">
        <f>IF($L39="","",INDEX(Bookings!$H$5:$H$60,$L39))</f>
        <v/>
      </c>
      <c r="E39" s="21">
        <f>IF($L39="","",INDEX(Bookings!$F$5:$F$60,$L39))</f>
        <v/>
      </c>
      <c r="F39" s="21">
        <f>IF($L39="","",INDEX(Bookings!$D$5:$D$60,$L39))</f>
        <v/>
      </c>
      <c r="G39" s="22">
        <f>IF($L39="","",INDEX(Bookings!$E$5:$E$60,$L39))</f>
        <v/>
      </c>
      <c r="H39" s="21">
        <f>IF($L39="","",INDEX(Bookings!$I$5:$I$60,$L39))</f>
        <v/>
      </c>
      <c r="I39" s="21">
        <f>IF($L39="","",INDEX(Bookings!$K$5:$K$60,$L39))</f>
        <v/>
      </c>
      <c r="L39">
        <f>IFERROR(MATCH(26,Bookings!$L$5:$L$60,0),"")</f>
        <v/>
      </c>
    </row>
    <row r="40">
      <c r="A40" s="19">
        <f>IF($L40="","",27)</f>
        <v/>
      </c>
      <c r="B40" s="19">
        <f>IF($L40="","",INDEX(Bookings!$A$5:$A$60,$L40))</f>
        <v/>
      </c>
      <c r="C40" s="19">
        <f>IF($L40="","",INDEX(Bookings!$G$5:$G$60,$L40))</f>
        <v/>
      </c>
      <c r="D40" s="19">
        <f>IF($L40="","",INDEX(Bookings!$H$5:$H$60,$L40))</f>
        <v/>
      </c>
      <c r="E40" s="19">
        <f>IF($L40="","",INDEX(Bookings!$F$5:$F$60,$L40))</f>
        <v/>
      </c>
      <c r="F40" s="19">
        <f>IF($L40="","",INDEX(Bookings!$D$5:$D$60,$L40))</f>
        <v/>
      </c>
      <c r="G40" s="20">
        <f>IF($L40="","",INDEX(Bookings!$E$5:$E$60,$L40))</f>
        <v/>
      </c>
      <c r="H40" s="19">
        <f>IF($L40="","",INDEX(Bookings!$I$5:$I$60,$L40))</f>
        <v/>
      </c>
      <c r="I40" s="19">
        <f>IF($L40="","",INDEX(Bookings!$K$5:$K$60,$L40))</f>
        <v/>
      </c>
      <c r="L40">
        <f>IFERROR(MATCH(27,Bookings!$L$5:$L$60,0),"")</f>
        <v/>
      </c>
    </row>
    <row r="41">
      <c r="A41" s="21">
        <f>IF($L41="","",28)</f>
        <v/>
      </c>
      <c r="B41" s="21">
        <f>IF($L41="","",INDEX(Bookings!$A$5:$A$60,$L41))</f>
        <v/>
      </c>
      <c r="C41" s="21">
        <f>IF($L41="","",INDEX(Bookings!$G$5:$G$60,$L41))</f>
        <v/>
      </c>
      <c r="D41" s="21">
        <f>IF($L41="","",INDEX(Bookings!$H$5:$H$60,$L41))</f>
        <v/>
      </c>
      <c r="E41" s="21">
        <f>IF($L41="","",INDEX(Bookings!$F$5:$F$60,$L41))</f>
        <v/>
      </c>
      <c r="F41" s="21">
        <f>IF($L41="","",INDEX(Bookings!$D$5:$D$60,$L41))</f>
        <v/>
      </c>
      <c r="G41" s="22">
        <f>IF($L41="","",INDEX(Bookings!$E$5:$E$60,$L41))</f>
        <v/>
      </c>
      <c r="H41" s="21">
        <f>IF($L41="","",INDEX(Bookings!$I$5:$I$60,$L41))</f>
        <v/>
      </c>
      <c r="I41" s="21">
        <f>IF($L41="","",INDEX(Bookings!$K$5:$K$60,$L41))</f>
        <v/>
      </c>
      <c r="L41">
        <f>IFERROR(MATCH(28,Bookings!$L$5:$L$60,0),"")</f>
        <v/>
      </c>
    </row>
    <row r="42">
      <c r="A42" s="19">
        <f>IF($L42="","",29)</f>
        <v/>
      </c>
      <c r="B42" s="19">
        <f>IF($L42="","",INDEX(Bookings!$A$5:$A$60,$L42))</f>
        <v/>
      </c>
      <c r="C42" s="19">
        <f>IF($L42="","",INDEX(Bookings!$G$5:$G$60,$L42))</f>
        <v/>
      </c>
      <c r="D42" s="19">
        <f>IF($L42="","",INDEX(Bookings!$H$5:$H$60,$L42))</f>
        <v/>
      </c>
      <c r="E42" s="19">
        <f>IF($L42="","",INDEX(Bookings!$F$5:$F$60,$L42))</f>
        <v/>
      </c>
      <c r="F42" s="19">
        <f>IF($L42="","",INDEX(Bookings!$D$5:$D$60,$L42))</f>
        <v/>
      </c>
      <c r="G42" s="20">
        <f>IF($L42="","",INDEX(Bookings!$E$5:$E$60,$L42))</f>
        <v/>
      </c>
      <c r="H42" s="19">
        <f>IF($L42="","",INDEX(Bookings!$I$5:$I$60,$L42))</f>
        <v/>
      </c>
      <c r="I42" s="19">
        <f>IF($L42="","",INDEX(Bookings!$K$5:$K$60,$L42))</f>
        <v/>
      </c>
      <c r="L42">
        <f>IFERROR(MATCH(29,Bookings!$L$5:$L$60,0),"")</f>
        <v/>
      </c>
    </row>
    <row r="43">
      <c r="A43" s="21">
        <f>IF($L43="","",30)</f>
        <v/>
      </c>
      <c r="B43" s="21">
        <f>IF($L43="","",INDEX(Bookings!$A$5:$A$60,$L43))</f>
        <v/>
      </c>
      <c r="C43" s="21">
        <f>IF($L43="","",INDEX(Bookings!$G$5:$G$60,$L43))</f>
        <v/>
      </c>
      <c r="D43" s="21">
        <f>IF($L43="","",INDEX(Bookings!$H$5:$H$60,$L43))</f>
        <v/>
      </c>
      <c r="E43" s="21">
        <f>IF($L43="","",INDEX(Bookings!$F$5:$F$60,$L43))</f>
        <v/>
      </c>
      <c r="F43" s="21">
        <f>IF($L43="","",INDEX(Bookings!$D$5:$D$60,$L43))</f>
        <v/>
      </c>
      <c r="G43" s="22">
        <f>IF($L43="","",INDEX(Bookings!$E$5:$E$60,$L43))</f>
        <v/>
      </c>
      <c r="H43" s="21">
        <f>IF($L43="","",INDEX(Bookings!$I$5:$I$60,$L43))</f>
        <v/>
      </c>
      <c r="I43" s="21">
        <f>IF($L43="","",INDEX(Bookings!$K$5:$K$60,$L43))</f>
        <v/>
      </c>
      <c r="L43">
        <f>IFERROR(MATCH(30,Bookings!$L$5:$L$60,0),"")</f>
        <v/>
      </c>
    </row>
    <row r="44">
      <c r="D44" s="23" t="inlineStr">
        <is>
          <t>Total pax</t>
        </is>
      </c>
      <c r="E44" s="13">
        <f>SUM(E14:E43)</f>
        <v/>
      </c>
    </row>
    <row r="46">
      <c r="B46" s="12" t="inlineStr">
        <is>
          <t>Driver signature</t>
        </is>
      </c>
      <c r="C46" s="24" t="n"/>
      <c r="E46" s="12" t="inlineStr">
        <is>
          <t>Time out</t>
        </is>
      </c>
      <c r="F46" s="24" t="n"/>
      <c r="G46" s="12" t="inlineStr">
        <is>
          <t>Time in</t>
        </is>
      </c>
      <c r="H46" s="24" t="n"/>
    </row>
    <row r="48">
      <c r="B48" s="6" t="inlineStr">
        <is>
          <t>Printed from an Excel file. If the flight moved after this was printed, this sheet is wrong and nobody here knows it.</t>
        </is>
      </c>
    </row>
  </sheetData>
  <conditionalFormatting sqref="F10">
    <cfRule type="expression" priority="1" dxfId="2" stopIfTrue="1">
      <formula>$F$10="ok"</formula>
    </cfRule>
    <cfRule type="expression" priority="2" dxfId="3" stopIfTrue="1">
      <formula>AND($F$10&lt;&gt;"",$F$10&lt;&gt;"ok")</formula>
    </cfRule>
  </conditionalFormatting>
  <dataValidations count="1">
    <dataValidation sqref="C4" showDropDown="0" showInputMessage="0" showErrorMessage="0" allowBlank="0" type="list">
      <formula1>=Board_Runs</formula1>
    </dataValidation>
  </dataValidations>
  <pageMargins left="0.75" right="0.75" top="1" bottom="1" header="0.5" footer="0.5"/>
  <pageSetup orientation="portrait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4" customWidth="1" min="3" max="3"/>
    <col width="13" customWidth="1" min="4" max="4"/>
    <col width="14" customWidth="1" min="5" max="5"/>
    <col width="15" customWidth="1" min="6" max="6"/>
    <col width="16" customWidth="1" min="7" max="7"/>
    <col width="13" customWidth="1" min="8" max="8"/>
    <col width="13" customWidth="1" min="9" max="9"/>
  </cols>
  <sheetData>
    <row r="1">
      <c r="A1" s="5" t="inlineStr">
        <is>
          <t>Costs</t>
        </is>
      </c>
    </row>
    <row r="2">
      <c r="A2" s="6" t="inlineStr">
        <is>
          <t>Rate card on top, one row per run below. Amounts are in whatever currency you work in. Grey columns are formulas.</t>
        </is>
      </c>
    </row>
    <row r="4">
      <c r="A4" s="18" t="inlineStr">
        <is>
          <t>Vehicle type</t>
        </is>
      </c>
      <c r="B4" s="18" t="inlineStr">
        <is>
          <t>Per-run rate</t>
        </is>
      </c>
      <c r="C4" s="18" t="inlineStr">
        <is>
          <t>Per-km rate</t>
        </is>
      </c>
    </row>
    <row r="5">
      <c r="A5" s="19" t="inlineStr">
        <is>
          <t>Car</t>
        </is>
      </c>
      <c r="B5" s="25" t="n">
        <v>45</v>
      </c>
      <c r="C5" s="25" t="n">
        <v>1.3</v>
      </c>
    </row>
    <row r="6">
      <c r="A6" s="19" t="inlineStr">
        <is>
          <t>Van</t>
        </is>
      </c>
      <c r="B6" s="25" t="n">
        <v>70</v>
      </c>
      <c r="C6" s="25" t="n">
        <v>1.6</v>
      </c>
    </row>
    <row r="7">
      <c r="A7" s="19" t="inlineStr">
        <is>
          <t>Minibus</t>
        </is>
      </c>
      <c r="B7" s="25" t="n">
        <v>95</v>
      </c>
      <c r="C7" s="25" t="n">
        <v>1.95</v>
      </c>
    </row>
    <row r="8">
      <c r="A8" s="19" t="inlineStr">
        <is>
          <t>Coach</t>
        </is>
      </c>
      <c r="B8" s="25" t="n">
        <v>210</v>
      </c>
      <c r="C8" s="25" t="n">
        <v>3.1</v>
      </c>
    </row>
    <row r="11" ht="30" customHeight="1">
      <c r="A11" s="7" t="inlineStr">
        <is>
          <t>Run</t>
        </is>
      </c>
      <c r="B11" s="7" t="inlineStr">
        <is>
          <t>Vehicle  (auto)</t>
        </is>
      </c>
      <c r="C11" s="7" t="inlineStr">
        <is>
          <t>Type  (auto)</t>
        </is>
      </c>
      <c r="D11" s="7" t="inlineStr">
        <is>
          <t>Cost basis  (auto)</t>
        </is>
      </c>
      <c r="E11" s="7" t="inlineStr">
        <is>
          <t>Distance (km)</t>
        </is>
      </c>
      <c r="F11" s="7" t="inlineStr">
        <is>
          <t>Supplier cost  (auto)</t>
        </is>
      </c>
      <c r="G11" s="7" t="inlineStr">
        <is>
          <t>Sell to agency</t>
        </is>
      </c>
      <c r="H11" s="7" t="inlineStr">
        <is>
          <t>Margin  (auto)</t>
        </is>
      </c>
      <c r="I11" s="7" t="inlineStr">
        <is>
          <t>Margin %  (auto)</t>
        </is>
      </c>
    </row>
    <row r="12">
      <c r="A12" s="8">
        <f>IF('Dispatch board'!$A$6="","",'Dispatch board'!$A$6)</f>
        <v/>
      </c>
      <c r="B12" s="11">
        <f>IF($A12="","",IFERROR(VLOOKUP($A12,Board_Table,5,FALSE),""))</f>
        <v/>
      </c>
      <c r="C12" s="11">
        <f>IF($B12="","",IFERROR(VLOOKUP($B12,Fleet_Table,2,FALSE),""))</f>
        <v/>
      </c>
      <c r="D12" s="11">
        <f>IF($B12="","",IFERROR(VLOOKUP($B12,Fleet_Table,6,FALSE),""))</f>
        <v/>
      </c>
      <c r="E12" s="8" t="n">
        <v>18</v>
      </c>
      <c r="F12" s="26">
        <f>IF(OR($A12="",$C12=""),"",IFERROR(IF($D12="Per km",$E12*VLOOKUP($C12,Rate_Card,3,FALSE),VLOOKUP($C12,Rate_Card,2,FALSE)),""))</f>
        <v/>
      </c>
      <c r="G12" s="27" t="n">
        <v>96</v>
      </c>
      <c r="H12" s="26">
        <f>IF(OR($A12="",NOT(ISNUMBER($F12))),"",$G12-$F12)</f>
        <v/>
      </c>
      <c r="I12" s="28">
        <f>IF(OR($A12="",NOT(ISNUMBER($H12)),$G12=0),"",$H12/$G12)</f>
        <v/>
      </c>
    </row>
    <row r="13">
      <c r="A13" s="8">
        <f>IF('Dispatch board'!$A$7="","",'Dispatch board'!$A$7)</f>
        <v/>
      </c>
      <c r="B13" s="11">
        <f>IF($A13="","",IFERROR(VLOOKUP($A13,Board_Table,5,FALSE),""))</f>
        <v/>
      </c>
      <c r="C13" s="11">
        <f>IF($B13="","",IFERROR(VLOOKUP($B13,Fleet_Table,2,FALSE),""))</f>
        <v/>
      </c>
      <c r="D13" s="11">
        <f>IF($B13="","",IFERROR(VLOOKUP($B13,Fleet_Table,6,FALSE),""))</f>
        <v/>
      </c>
      <c r="E13" s="8" t="n">
        <v>42</v>
      </c>
      <c r="F13" s="26">
        <f>IF(OR($A13="",$C13=""),"",IFERROR(IF($D13="Per km",$E13*VLOOKUP($C13,Rate_Card,3,FALSE),VLOOKUP($C13,Rate_Card,2,FALSE)),""))</f>
        <v/>
      </c>
      <c r="G13" s="27" t="n">
        <v>148</v>
      </c>
      <c r="H13" s="26">
        <f>IF(OR($A13="",NOT(ISNUMBER($F13))),"",$G13-$F13)</f>
        <v/>
      </c>
      <c r="I13" s="28">
        <f>IF(OR($A13="",NOT(ISNUMBER($H13)),$G13=0),"",$H13/$G13)</f>
        <v/>
      </c>
    </row>
    <row r="14">
      <c r="A14" s="8">
        <f>IF('Dispatch board'!$A$8="","",'Dispatch board'!$A$8)</f>
        <v/>
      </c>
      <c r="B14" s="11">
        <f>IF($A14="","",IFERROR(VLOOKUP($A14,Board_Table,5,FALSE),""))</f>
        <v/>
      </c>
      <c r="C14" s="11">
        <f>IF($B14="","",IFERROR(VLOOKUP($B14,Fleet_Table,2,FALSE),""))</f>
        <v/>
      </c>
      <c r="D14" s="11">
        <f>IF($B14="","",IFERROR(VLOOKUP($B14,Fleet_Table,6,FALSE),""))</f>
        <v/>
      </c>
      <c r="E14" s="8" t="n">
        <v>12</v>
      </c>
      <c r="F14" s="26">
        <f>IF(OR($A14="",$C14=""),"",IFERROR(IF($D14="Per km",$E14*VLOOKUP($C14,Rate_Card,3,FALSE),VLOOKUP($C14,Rate_Card,2,FALSE)),""))</f>
        <v/>
      </c>
      <c r="G14" s="27" t="n">
        <v>72</v>
      </c>
      <c r="H14" s="26">
        <f>IF(OR($A14="",NOT(ISNUMBER($F14))),"",$G14-$F14)</f>
        <v/>
      </c>
      <c r="I14" s="28">
        <f>IF(OR($A14="",NOT(ISNUMBER($H14)),$G14=0),"",$H14/$G14)</f>
        <v/>
      </c>
    </row>
    <row r="15">
      <c r="A15" s="8">
        <f>IF('Dispatch board'!$A$9="","",'Dispatch board'!$A$9)</f>
        <v/>
      </c>
      <c r="B15" s="11">
        <f>IF($A15="","",IFERROR(VLOOKUP($A15,Board_Table,5,FALSE),""))</f>
        <v/>
      </c>
      <c r="C15" s="11">
        <f>IF($B15="","",IFERROR(VLOOKUP($B15,Fleet_Table,2,FALSE),""))</f>
        <v/>
      </c>
      <c r="D15" s="11">
        <f>IF($B15="","",IFERROR(VLOOKUP($B15,Fleet_Table,6,FALSE),""))</f>
        <v/>
      </c>
      <c r="E15" s="8" t="n">
        <v>35</v>
      </c>
      <c r="F15" s="26">
        <f>IF(OR($A15="",$C15=""),"",IFERROR(IF($D15="Per km",$E15*VLOOKUP($C15,Rate_Card,3,FALSE),VLOOKUP($C15,Rate_Card,2,FALSE)),""))</f>
        <v/>
      </c>
      <c r="G15" s="27" t="n">
        <v>140</v>
      </c>
      <c r="H15" s="26">
        <f>IF(OR($A15="",NOT(ISNUMBER($F15))),"",$G15-$F15)</f>
        <v/>
      </c>
      <c r="I15" s="28">
        <f>IF(OR($A15="",NOT(ISNUMBER($H15)),$G15=0),"",$H15/$G15)</f>
        <v/>
      </c>
    </row>
    <row r="16">
      <c r="A16" s="8">
        <f>IF('Dispatch board'!$A$10="","",'Dispatch board'!$A$10)</f>
        <v/>
      </c>
      <c r="B16" s="11">
        <f>IF($A16="","",IFERROR(VLOOKUP($A16,Board_Table,5,FALSE),""))</f>
        <v/>
      </c>
      <c r="C16" s="11">
        <f>IF($B16="","",IFERROR(VLOOKUP($B16,Fleet_Table,2,FALSE),""))</f>
        <v/>
      </c>
      <c r="D16" s="11">
        <f>IF($B16="","",IFERROR(VLOOKUP($B16,Fleet_Table,6,FALSE),""))</f>
        <v/>
      </c>
      <c r="E16" s="8" t="n">
        <v>18</v>
      </c>
      <c r="F16" s="26">
        <f>IF(OR($A16="",$C16=""),"",IFERROR(IF($D16="Per km",$E16*VLOOKUP($C16,Rate_Card,3,FALSE),VLOOKUP($C16,Rate_Card,2,FALSE)),""))</f>
        <v/>
      </c>
      <c r="G16" s="27" t="n">
        <v>78</v>
      </c>
      <c r="H16" s="26">
        <f>IF(OR($A16="",NOT(ISNUMBER($F16))),"",$G16-$F16)</f>
        <v/>
      </c>
      <c r="I16" s="28">
        <f>IF(OR($A16="",NOT(ISNUMBER($H16)),$G16=0),"",$H16/$G16)</f>
        <v/>
      </c>
    </row>
    <row r="17">
      <c r="A17" s="8">
        <f>IF('Dispatch board'!$A$11="","",'Dispatch board'!$A$11)</f>
        <v/>
      </c>
      <c r="B17" s="11">
        <f>IF($A17="","",IFERROR(VLOOKUP($A17,Board_Table,5,FALSE),""))</f>
        <v/>
      </c>
      <c r="C17" s="11">
        <f>IF($B17="","",IFERROR(VLOOKUP($B17,Fleet_Table,2,FALSE),""))</f>
        <v/>
      </c>
      <c r="D17" s="11">
        <f>IF($B17="","",IFERROR(VLOOKUP($B17,Fleet_Table,6,FALSE),""))</f>
        <v/>
      </c>
      <c r="E17" s="8" t="n">
        <v>42</v>
      </c>
      <c r="F17" s="26">
        <f>IF(OR($A17="",$C17=""),"",IFERROR(IF($D17="Per km",$E17*VLOOKUP($C17,Rate_Card,3,FALSE),VLOOKUP($C17,Rate_Card,2,FALSE)),""))</f>
        <v/>
      </c>
      <c r="G17" s="27" t="n">
        <v>210</v>
      </c>
      <c r="H17" s="26">
        <f>IF(OR($A17="",NOT(ISNUMBER($F17))),"",$G17-$F17)</f>
        <v/>
      </c>
      <c r="I17" s="28">
        <f>IF(OR($A17="",NOT(ISNUMBER($H17)),$G17=0),"",$H17/$G17)</f>
        <v/>
      </c>
    </row>
    <row r="18">
      <c r="A18" s="8">
        <f>IF('Dispatch board'!$A$12="","",'Dispatch board'!$A$12)</f>
        <v/>
      </c>
      <c r="B18" s="11">
        <f>IF($A18="","",IFERROR(VLOOKUP($A18,Board_Table,5,FALSE),""))</f>
        <v/>
      </c>
      <c r="C18" s="11">
        <f>IF($B18="","",IFERROR(VLOOKUP($B18,Fleet_Table,2,FALSE),""))</f>
        <v/>
      </c>
      <c r="D18" s="11">
        <f>IF($B18="","",IFERROR(VLOOKUP($B18,Fleet_Table,6,FALSE),""))</f>
        <v/>
      </c>
      <c r="E18" s="8" t="n">
        <v>35</v>
      </c>
      <c r="F18" s="26">
        <f>IF(OR($A18="",$C18=""),"",IFERROR(IF($D18="Per km",$E18*VLOOKUP($C18,Rate_Card,3,FALSE),VLOOKUP($C18,Rate_Card,2,FALSE)),""))</f>
        <v/>
      </c>
      <c r="G18" s="27" t="n">
        <v>145</v>
      </c>
      <c r="H18" s="26">
        <f>IF(OR($A18="",NOT(ISNUMBER($F18))),"",$G18-$F18)</f>
        <v/>
      </c>
      <c r="I18" s="28">
        <f>IF(OR($A18="",NOT(ISNUMBER($H18)),$G18=0),"",$H18/$G18)</f>
        <v/>
      </c>
    </row>
    <row r="19">
      <c r="A19" s="8">
        <f>IF('Dispatch board'!$A$13="","",'Dispatch board'!$A$13)</f>
        <v/>
      </c>
      <c r="B19" s="11">
        <f>IF($A19="","",IFERROR(VLOOKUP($A19,Board_Table,5,FALSE),""))</f>
        <v/>
      </c>
      <c r="C19" s="11">
        <f>IF($B19="","",IFERROR(VLOOKUP($B19,Fleet_Table,2,FALSE),""))</f>
        <v/>
      </c>
      <c r="D19" s="11">
        <f>IF($B19="","",IFERROR(VLOOKUP($B19,Fleet_Table,6,FALSE),""))</f>
        <v/>
      </c>
      <c r="E19" s="8" t="n">
        <v>18</v>
      </c>
      <c r="F19" s="26">
        <f>IF(OR($A19="",$C19=""),"",IFERROR(IF($D19="Per km",$E19*VLOOKUP($C19,Rate_Card,3,FALSE),VLOOKUP($C19,Rate_Card,2,FALSE)),""))</f>
        <v/>
      </c>
      <c r="G19" s="27" t="n">
        <v>88</v>
      </c>
      <c r="H19" s="26">
        <f>IF(OR($A19="",NOT(ISNUMBER($F19))),"",$G19-$F19)</f>
        <v/>
      </c>
      <c r="I19" s="28">
        <f>IF(OR($A19="",NOT(ISNUMBER($H19)),$G19=0),"",$H19/$G19)</f>
        <v/>
      </c>
    </row>
    <row r="20">
      <c r="A20" s="8">
        <f>IF('Dispatch board'!$A$14="","",'Dispatch board'!$A$14)</f>
        <v/>
      </c>
      <c r="B20" s="11">
        <f>IF($A20="","",IFERROR(VLOOKUP($A20,Board_Table,5,FALSE),""))</f>
        <v/>
      </c>
      <c r="C20" s="11">
        <f>IF($B20="","",IFERROR(VLOOKUP($B20,Fleet_Table,2,FALSE),""))</f>
        <v/>
      </c>
      <c r="D20" s="11">
        <f>IF($B20="","",IFERROR(VLOOKUP($B20,Fleet_Table,6,FALSE),""))</f>
        <v/>
      </c>
      <c r="E20" s="8" t="n">
        <v>12</v>
      </c>
      <c r="F20" s="26">
        <f>IF(OR($A20="",$C20=""),"",IFERROR(IF($D20="Per km",$E20*VLOOKUP($C20,Rate_Card,3,FALSE),VLOOKUP($C20,Rate_Card,2,FALSE)),""))</f>
        <v/>
      </c>
      <c r="G20" s="27" t="n">
        <v>62</v>
      </c>
      <c r="H20" s="26">
        <f>IF(OR($A20="",NOT(ISNUMBER($F20))),"",$G20-$F20)</f>
        <v/>
      </c>
      <c r="I20" s="28">
        <f>IF(OR($A20="",NOT(ISNUMBER($H20)),$G20=0),"",$H20/$G20)</f>
        <v/>
      </c>
    </row>
    <row r="21">
      <c r="A21" s="8">
        <f>IF('Dispatch board'!$A$15="","",'Dispatch board'!$A$15)</f>
        <v/>
      </c>
      <c r="B21" s="11">
        <f>IF($A21="","",IFERROR(VLOOKUP($A21,Board_Table,5,FALSE),""))</f>
        <v/>
      </c>
      <c r="C21" s="11">
        <f>IF($B21="","",IFERROR(VLOOKUP($B21,Fleet_Table,2,FALSE),""))</f>
        <v/>
      </c>
      <c r="D21" s="11">
        <f>IF($B21="","",IFERROR(VLOOKUP($B21,Fleet_Table,6,FALSE),""))</f>
        <v/>
      </c>
      <c r="E21" s="8" t="n">
        <v>42</v>
      </c>
      <c r="F21" s="26">
        <f>IF(OR($A21="",$C21=""),"",IFERROR(IF($D21="Per km",$E21*VLOOKUP($C21,Rate_Card,3,FALSE),VLOOKUP($C21,Rate_Card,2,FALSE)),""))</f>
        <v/>
      </c>
      <c r="G21" s="27" t="n">
        <v>152</v>
      </c>
      <c r="H21" s="26">
        <f>IF(OR($A21="",NOT(ISNUMBER($F21))),"",$G21-$F21)</f>
        <v/>
      </c>
      <c r="I21" s="28">
        <f>IF(OR($A21="",NOT(ISNUMBER($H21)),$G21=0),"",$H21/$G21)</f>
        <v/>
      </c>
    </row>
    <row r="22">
      <c r="A22" s="8">
        <f>IF('Dispatch board'!$A$16="","",'Dispatch board'!$A$16)</f>
        <v/>
      </c>
      <c r="B22" s="11">
        <f>IF($A22="","",IFERROR(VLOOKUP($A22,Board_Table,5,FALSE),""))</f>
        <v/>
      </c>
      <c r="C22" s="11">
        <f>IF($B22="","",IFERROR(VLOOKUP($B22,Fleet_Table,2,FALSE),""))</f>
        <v/>
      </c>
      <c r="D22" s="11">
        <f>IF($B22="","",IFERROR(VLOOKUP($B22,Fleet_Table,6,FALSE),""))</f>
        <v/>
      </c>
      <c r="E22" s="8" t="n">
        <v>35</v>
      </c>
      <c r="F22" s="26">
        <f>IF(OR($A22="",$C22=""),"",IFERROR(IF($D22="Per km",$E22*VLOOKUP($C22,Rate_Card,3,FALSE),VLOOKUP($C22,Rate_Card,2,FALSE)),""))</f>
        <v/>
      </c>
      <c r="G22" s="27" t="n">
        <v>120</v>
      </c>
      <c r="H22" s="26">
        <f>IF(OR($A22="",NOT(ISNUMBER($F22))),"",$G22-$F22)</f>
        <v/>
      </c>
      <c r="I22" s="28">
        <f>IF(OR($A22="",NOT(ISNUMBER($H22)),$G22=0),"",$H22/$G22)</f>
        <v/>
      </c>
    </row>
    <row r="23">
      <c r="A23" s="8">
        <f>IF('Dispatch board'!$A$17="","",'Dispatch board'!$A$17)</f>
        <v/>
      </c>
      <c r="B23" s="11">
        <f>IF($A23="","",IFERROR(VLOOKUP($A23,Board_Table,5,FALSE),""))</f>
        <v/>
      </c>
      <c r="C23" s="11">
        <f>IF($B23="","",IFERROR(VLOOKUP($B23,Fleet_Table,2,FALSE),""))</f>
        <v/>
      </c>
      <c r="D23" s="11">
        <f>IF($B23="","",IFERROR(VLOOKUP($B23,Fleet_Table,6,FALSE),""))</f>
        <v/>
      </c>
      <c r="E23" s="8" t="n">
        <v>18</v>
      </c>
      <c r="F23" s="26">
        <f>IF(OR($A23="",$C23=""),"",IFERROR(IF($D23="Per km",$E23*VLOOKUP($C23,Rate_Card,3,FALSE),VLOOKUP($C23,Rate_Card,2,FALSE)),""))</f>
        <v/>
      </c>
      <c r="G23" s="27" t="n">
        <v>84</v>
      </c>
      <c r="H23" s="26">
        <f>IF(OR($A23="",NOT(ISNUMBER($F23))),"",$G23-$F23)</f>
        <v/>
      </c>
      <c r="I23" s="28">
        <f>IF(OR($A23="",NOT(ISNUMBER($H23)),$G23=0),"",$H23/$G23)</f>
        <v/>
      </c>
    </row>
    <row r="24">
      <c r="A24" s="8">
        <f>IF('Dispatch board'!$A$18="","",'Dispatch board'!$A$18)</f>
        <v/>
      </c>
      <c r="B24" s="11">
        <f>IF($A24="","",IFERROR(VLOOKUP($A24,Board_Table,5,FALSE),""))</f>
        <v/>
      </c>
      <c r="C24" s="11">
        <f>IF($B24="","",IFERROR(VLOOKUP($B24,Fleet_Table,2,FALSE),""))</f>
        <v/>
      </c>
      <c r="D24" s="11">
        <f>IF($B24="","",IFERROR(VLOOKUP($B24,Fleet_Table,6,FALSE),""))</f>
        <v/>
      </c>
      <c r="E24" s="8" t="n"/>
      <c r="F24" s="26">
        <f>IF(OR($A24="",$C24=""),"",IFERROR(IF($D24="Per km",$E24*VLOOKUP($C24,Rate_Card,3,FALSE),VLOOKUP($C24,Rate_Card,2,FALSE)),""))</f>
        <v/>
      </c>
      <c r="G24" s="27" t="n"/>
      <c r="H24" s="26">
        <f>IF(OR($A24="",NOT(ISNUMBER($F24))),"",$G24-$F24)</f>
        <v/>
      </c>
      <c r="I24" s="28">
        <f>IF(OR($A24="",NOT(ISNUMBER($H24)),$G24=0),"",$H24/$G24)</f>
        <v/>
      </c>
    </row>
    <row r="25">
      <c r="A25" s="8">
        <f>IF('Dispatch board'!$A$19="","",'Dispatch board'!$A$19)</f>
        <v/>
      </c>
      <c r="B25" s="11">
        <f>IF($A25="","",IFERROR(VLOOKUP($A25,Board_Table,5,FALSE),""))</f>
        <v/>
      </c>
      <c r="C25" s="11">
        <f>IF($B25="","",IFERROR(VLOOKUP($B25,Fleet_Table,2,FALSE),""))</f>
        <v/>
      </c>
      <c r="D25" s="11">
        <f>IF($B25="","",IFERROR(VLOOKUP($B25,Fleet_Table,6,FALSE),""))</f>
        <v/>
      </c>
      <c r="E25" s="8" t="n"/>
      <c r="F25" s="26">
        <f>IF(OR($A25="",$C25=""),"",IFERROR(IF($D25="Per km",$E25*VLOOKUP($C25,Rate_Card,3,FALSE),VLOOKUP($C25,Rate_Card,2,FALSE)),""))</f>
        <v/>
      </c>
      <c r="G25" s="27" t="n"/>
      <c r="H25" s="26">
        <f>IF(OR($A25="",NOT(ISNUMBER($F25))),"",$G25-$F25)</f>
        <v/>
      </c>
      <c r="I25" s="28">
        <f>IF(OR($A25="",NOT(ISNUMBER($H25)),$G25=0),"",$H25/$G25)</f>
        <v/>
      </c>
    </row>
    <row r="26">
      <c r="A26" s="8">
        <f>IF('Dispatch board'!$A$20="","",'Dispatch board'!$A$20)</f>
        <v/>
      </c>
      <c r="B26" s="11">
        <f>IF($A26="","",IFERROR(VLOOKUP($A26,Board_Table,5,FALSE),""))</f>
        <v/>
      </c>
      <c r="C26" s="11">
        <f>IF($B26="","",IFERROR(VLOOKUP($B26,Fleet_Table,2,FALSE),""))</f>
        <v/>
      </c>
      <c r="D26" s="11">
        <f>IF($B26="","",IFERROR(VLOOKUP($B26,Fleet_Table,6,FALSE),""))</f>
        <v/>
      </c>
      <c r="E26" s="8" t="n"/>
      <c r="F26" s="26">
        <f>IF(OR($A26="",$C26=""),"",IFERROR(IF($D26="Per km",$E26*VLOOKUP($C26,Rate_Card,3,FALSE),VLOOKUP($C26,Rate_Card,2,FALSE)),""))</f>
        <v/>
      </c>
      <c r="G26" s="27" t="n"/>
      <c r="H26" s="26">
        <f>IF(OR($A26="",NOT(ISNUMBER($F26))),"",$G26-$F26)</f>
        <v/>
      </c>
      <c r="I26" s="28">
        <f>IF(OR($A26="",NOT(ISNUMBER($H26)),$G26=0),"",$H26/$G26)</f>
        <v/>
      </c>
    </row>
    <row r="27">
      <c r="A27" s="8">
        <f>IF('Dispatch board'!$A$21="","",'Dispatch board'!$A$21)</f>
        <v/>
      </c>
      <c r="B27" s="11">
        <f>IF($A27="","",IFERROR(VLOOKUP($A27,Board_Table,5,FALSE),""))</f>
        <v/>
      </c>
      <c r="C27" s="11">
        <f>IF($B27="","",IFERROR(VLOOKUP($B27,Fleet_Table,2,FALSE),""))</f>
        <v/>
      </c>
      <c r="D27" s="11">
        <f>IF($B27="","",IFERROR(VLOOKUP($B27,Fleet_Table,6,FALSE),""))</f>
        <v/>
      </c>
      <c r="E27" s="8" t="n"/>
      <c r="F27" s="26">
        <f>IF(OR($A27="",$C27=""),"",IFERROR(IF($D27="Per km",$E27*VLOOKUP($C27,Rate_Card,3,FALSE),VLOOKUP($C27,Rate_Card,2,FALSE)),""))</f>
        <v/>
      </c>
      <c r="G27" s="27" t="n"/>
      <c r="H27" s="26">
        <f>IF(OR($A27="",NOT(ISNUMBER($F27))),"",$G27-$F27)</f>
        <v/>
      </c>
      <c r="I27" s="28">
        <f>IF(OR($A27="",NOT(ISNUMBER($H27)),$G27=0),"",$H27/$G27)</f>
        <v/>
      </c>
    </row>
    <row r="28">
      <c r="A28" s="8">
        <f>IF('Dispatch board'!$A$22="","",'Dispatch board'!$A$22)</f>
        <v/>
      </c>
      <c r="B28" s="11">
        <f>IF($A28="","",IFERROR(VLOOKUP($A28,Board_Table,5,FALSE),""))</f>
        <v/>
      </c>
      <c r="C28" s="11">
        <f>IF($B28="","",IFERROR(VLOOKUP($B28,Fleet_Table,2,FALSE),""))</f>
        <v/>
      </c>
      <c r="D28" s="11">
        <f>IF($B28="","",IFERROR(VLOOKUP($B28,Fleet_Table,6,FALSE),""))</f>
        <v/>
      </c>
      <c r="E28" s="8" t="n"/>
      <c r="F28" s="26">
        <f>IF(OR($A28="",$C28=""),"",IFERROR(IF($D28="Per km",$E28*VLOOKUP($C28,Rate_Card,3,FALSE),VLOOKUP($C28,Rate_Card,2,FALSE)),""))</f>
        <v/>
      </c>
      <c r="G28" s="27" t="n"/>
      <c r="H28" s="26">
        <f>IF(OR($A28="",NOT(ISNUMBER($F28))),"",$G28-$F28)</f>
        <v/>
      </c>
      <c r="I28" s="28">
        <f>IF(OR($A28="",NOT(ISNUMBER($H28)),$G28=0),"",$H28/$G28)</f>
        <v/>
      </c>
    </row>
    <row r="29">
      <c r="A29" s="8">
        <f>IF('Dispatch board'!$A$23="","",'Dispatch board'!$A$23)</f>
        <v/>
      </c>
      <c r="B29" s="11">
        <f>IF($A29="","",IFERROR(VLOOKUP($A29,Board_Table,5,FALSE),""))</f>
        <v/>
      </c>
      <c r="C29" s="11">
        <f>IF($B29="","",IFERROR(VLOOKUP($B29,Fleet_Table,2,FALSE),""))</f>
        <v/>
      </c>
      <c r="D29" s="11">
        <f>IF($B29="","",IFERROR(VLOOKUP($B29,Fleet_Table,6,FALSE),""))</f>
        <v/>
      </c>
      <c r="E29" s="8" t="n"/>
      <c r="F29" s="26">
        <f>IF(OR($A29="",$C29=""),"",IFERROR(IF($D29="Per km",$E29*VLOOKUP($C29,Rate_Card,3,FALSE),VLOOKUP($C29,Rate_Card,2,FALSE)),""))</f>
        <v/>
      </c>
      <c r="G29" s="27" t="n"/>
      <c r="H29" s="26">
        <f>IF(OR($A29="",NOT(ISNUMBER($F29))),"",$G29-$F29)</f>
        <v/>
      </c>
      <c r="I29" s="28">
        <f>IF(OR($A29="",NOT(ISNUMBER($H29)),$G29=0),"",$H29/$G29)</f>
        <v/>
      </c>
    </row>
    <row r="30">
      <c r="A30" s="8">
        <f>IF('Dispatch board'!$A$24="","",'Dispatch board'!$A$24)</f>
        <v/>
      </c>
      <c r="B30" s="11">
        <f>IF($A30="","",IFERROR(VLOOKUP($A30,Board_Table,5,FALSE),""))</f>
        <v/>
      </c>
      <c r="C30" s="11">
        <f>IF($B30="","",IFERROR(VLOOKUP($B30,Fleet_Table,2,FALSE),""))</f>
        <v/>
      </c>
      <c r="D30" s="11">
        <f>IF($B30="","",IFERROR(VLOOKUP($B30,Fleet_Table,6,FALSE),""))</f>
        <v/>
      </c>
      <c r="E30" s="8" t="n"/>
      <c r="F30" s="26">
        <f>IF(OR($A30="",$C30=""),"",IFERROR(IF($D30="Per km",$E30*VLOOKUP($C30,Rate_Card,3,FALSE),VLOOKUP($C30,Rate_Card,2,FALSE)),""))</f>
        <v/>
      </c>
      <c r="G30" s="27" t="n"/>
      <c r="H30" s="26">
        <f>IF(OR($A30="",NOT(ISNUMBER($F30))),"",$G30-$F30)</f>
        <v/>
      </c>
      <c r="I30" s="28">
        <f>IF(OR($A30="",NOT(ISNUMBER($H30)),$G30=0),"",$H30/$G30)</f>
        <v/>
      </c>
    </row>
    <row r="31">
      <c r="A31" s="8">
        <f>IF('Dispatch board'!$A$25="","",'Dispatch board'!$A$25)</f>
        <v/>
      </c>
      <c r="B31" s="11">
        <f>IF($A31="","",IFERROR(VLOOKUP($A31,Board_Table,5,FALSE),""))</f>
        <v/>
      </c>
      <c r="C31" s="11">
        <f>IF($B31="","",IFERROR(VLOOKUP($B31,Fleet_Table,2,FALSE),""))</f>
        <v/>
      </c>
      <c r="D31" s="11">
        <f>IF($B31="","",IFERROR(VLOOKUP($B31,Fleet_Table,6,FALSE),""))</f>
        <v/>
      </c>
      <c r="E31" s="8" t="n"/>
      <c r="F31" s="26">
        <f>IF(OR($A31="",$C31=""),"",IFERROR(IF($D31="Per km",$E31*VLOOKUP($C31,Rate_Card,3,FALSE),VLOOKUP($C31,Rate_Card,2,FALSE)),""))</f>
        <v/>
      </c>
      <c r="G31" s="27" t="n"/>
      <c r="H31" s="26">
        <f>IF(OR($A31="",NOT(ISNUMBER($F31))),"",$G31-$F31)</f>
        <v/>
      </c>
      <c r="I31" s="28">
        <f>IF(OR($A31="",NOT(ISNUMBER($H31)),$G31=0),"",$H31/$G31)</f>
        <v/>
      </c>
    </row>
    <row r="32">
      <c r="A32" s="8">
        <f>IF('Dispatch board'!$A$26="","",'Dispatch board'!$A$26)</f>
        <v/>
      </c>
      <c r="B32" s="11">
        <f>IF($A32="","",IFERROR(VLOOKUP($A32,Board_Table,5,FALSE),""))</f>
        <v/>
      </c>
      <c r="C32" s="11">
        <f>IF($B32="","",IFERROR(VLOOKUP($B32,Fleet_Table,2,FALSE),""))</f>
        <v/>
      </c>
      <c r="D32" s="11">
        <f>IF($B32="","",IFERROR(VLOOKUP($B32,Fleet_Table,6,FALSE),""))</f>
        <v/>
      </c>
      <c r="E32" s="8" t="n"/>
      <c r="F32" s="26">
        <f>IF(OR($A32="",$C32=""),"",IFERROR(IF($D32="Per km",$E32*VLOOKUP($C32,Rate_Card,3,FALSE),VLOOKUP($C32,Rate_Card,2,FALSE)),""))</f>
        <v/>
      </c>
      <c r="G32" s="27" t="n"/>
      <c r="H32" s="26">
        <f>IF(OR($A32="",NOT(ISNUMBER($F32))),"",$G32-$F32)</f>
        <v/>
      </c>
      <c r="I32" s="28">
        <f>IF(OR($A32="",NOT(ISNUMBER($H32)),$G32=0),"",$H32/$G32)</f>
        <v/>
      </c>
    </row>
    <row r="33">
      <c r="A33" s="8">
        <f>IF('Dispatch board'!$A$27="","",'Dispatch board'!$A$27)</f>
        <v/>
      </c>
      <c r="B33" s="11">
        <f>IF($A33="","",IFERROR(VLOOKUP($A33,Board_Table,5,FALSE),""))</f>
        <v/>
      </c>
      <c r="C33" s="11">
        <f>IF($B33="","",IFERROR(VLOOKUP($B33,Fleet_Table,2,FALSE),""))</f>
        <v/>
      </c>
      <c r="D33" s="11">
        <f>IF($B33="","",IFERROR(VLOOKUP($B33,Fleet_Table,6,FALSE),""))</f>
        <v/>
      </c>
      <c r="E33" s="8" t="n"/>
      <c r="F33" s="26">
        <f>IF(OR($A33="",$C33=""),"",IFERROR(IF($D33="Per km",$E33*VLOOKUP($C33,Rate_Card,3,FALSE),VLOOKUP($C33,Rate_Card,2,FALSE)),""))</f>
        <v/>
      </c>
      <c r="G33" s="27" t="n"/>
      <c r="H33" s="26">
        <f>IF(OR($A33="",NOT(ISNUMBER($F33))),"",$G33-$F33)</f>
        <v/>
      </c>
      <c r="I33" s="28">
        <f>IF(OR($A33="",NOT(ISNUMBER($H33)),$G33=0),"",$H33/$G33)</f>
        <v/>
      </c>
    </row>
    <row r="34">
      <c r="A34" s="8">
        <f>IF('Dispatch board'!$A$28="","",'Dispatch board'!$A$28)</f>
        <v/>
      </c>
      <c r="B34" s="11">
        <f>IF($A34="","",IFERROR(VLOOKUP($A34,Board_Table,5,FALSE),""))</f>
        <v/>
      </c>
      <c r="C34" s="11">
        <f>IF($B34="","",IFERROR(VLOOKUP($B34,Fleet_Table,2,FALSE),""))</f>
        <v/>
      </c>
      <c r="D34" s="11">
        <f>IF($B34="","",IFERROR(VLOOKUP($B34,Fleet_Table,6,FALSE),""))</f>
        <v/>
      </c>
      <c r="E34" s="8" t="n"/>
      <c r="F34" s="26">
        <f>IF(OR($A34="",$C34=""),"",IFERROR(IF($D34="Per km",$E34*VLOOKUP($C34,Rate_Card,3,FALSE),VLOOKUP($C34,Rate_Card,2,FALSE)),""))</f>
        <v/>
      </c>
      <c r="G34" s="27" t="n"/>
      <c r="H34" s="26">
        <f>IF(OR($A34="",NOT(ISNUMBER($F34))),"",$G34-$F34)</f>
        <v/>
      </c>
      <c r="I34" s="28">
        <f>IF(OR($A34="",NOT(ISNUMBER($H34)),$G34=0),"",$H34/$G34)</f>
        <v/>
      </c>
    </row>
    <row r="35">
      <c r="A35" s="8">
        <f>IF('Dispatch board'!$A$29="","",'Dispatch board'!$A$29)</f>
        <v/>
      </c>
      <c r="B35" s="11">
        <f>IF($A35="","",IFERROR(VLOOKUP($A35,Board_Table,5,FALSE),""))</f>
        <v/>
      </c>
      <c r="C35" s="11">
        <f>IF($B35="","",IFERROR(VLOOKUP($B35,Fleet_Table,2,FALSE),""))</f>
        <v/>
      </c>
      <c r="D35" s="11">
        <f>IF($B35="","",IFERROR(VLOOKUP($B35,Fleet_Table,6,FALSE),""))</f>
        <v/>
      </c>
      <c r="E35" s="8" t="n"/>
      <c r="F35" s="26">
        <f>IF(OR($A35="",$C35=""),"",IFERROR(IF($D35="Per km",$E35*VLOOKUP($C35,Rate_Card,3,FALSE),VLOOKUP($C35,Rate_Card,2,FALSE)),""))</f>
        <v/>
      </c>
      <c r="G35" s="27" t="n"/>
      <c r="H35" s="26">
        <f>IF(OR($A35="",NOT(ISNUMBER($F35))),"",$G35-$F35)</f>
        <v/>
      </c>
      <c r="I35" s="28">
        <f>IF(OR($A35="",NOT(ISNUMBER($H35)),$G35=0),"",$H35/$G35)</f>
        <v/>
      </c>
    </row>
    <row r="36">
      <c r="A36" s="8">
        <f>IF('Dispatch board'!$A$30="","",'Dispatch board'!$A$30)</f>
        <v/>
      </c>
      <c r="B36" s="11">
        <f>IF($A36="","",IFERROR(VLOOKUP($A36,Board_Table,5,FALSE),""))</f>
        <v/>
      </c>
      <c r="C36" s="11">
        <f>IF($B36="","",IFERROR(VLOOKUP($B36,Fleet_Table,2,FALSE),""))</f>
        <v/>
      </c>
      <c r="D36" s="11">
        <f>IF($B36="","",IFERROR(VLOOKUP($B36,Fleet_Table,6,FALSE),""))</f>
        <v/>
      </c>
      <c r="E36" s="8" t="n"/>
      <c r="F36" s="26">
        <f>IF(OR($A36="",$C36=""),"",IFERROR(IF($D36="Per km",$E36*VLOOKUP($C36,Rate_Card,3,FALSE),VLOOKUP($C36,Rate_Card,2,FALSE)),""))</f>
        <v/>
      </c>
      <c r="G36" s="27" t="n"/>
      <c r="H36" s="26">
        <f>IF(OR($A36="",NOT(ISNUMBER($F36))),"",$G36-$F36)</f>
        <v/>
      </c>
      <c r="I36" s="28">
        <f>IF(OR($A36="",NOT(ISNUMBER($H36)),$G36=0),"",$H36/$G36)</f>
        <v/>
      </c>
    </row>
    <row r="37">
      <c r="A37" s="8">
        <f>IF('Dispatch board'!$A$31="","",'Dispatch board'!$A$31)</f>
        <v/>
      </c>
      <c r="B37" s="11">
        <f>IF($A37="","",IFERROR(VLOOKUP($A37,Board_Table,5,FALSE),""))</f>
        <v/>
      </c>
      <c r="C37" s="11">
        <f>IF($B37="","",IFERROR(VLOOKUP($B37,Fleet_Table,2,FALSE),""))</f>
        <v/>
      </c>
      <c r="D37" s="11">
        <f>IF($B37="","",IFERROR(VLOOKUP($B37,Fleet_Table,6,FALSE),""))</f>
        <v/>
      </c>
      <c r="E37" s="8" t="n"/>
      <c r="F37" s="26">
        <f>IF(OR($A37="",$C37=""),"",IFERROR(IF($D37="Per km",$E37*VLOOKUP($C37,Rate_Card,3,FALSE),VLOOKUP($C37,Rate_Card,2,FALSE)),""))</f>
        <v/>
      </c>
      <c r="G37" s="27" t="n"/>
      <c r="H37" s="26">
        <f>IF(OR($A37="",NOT(ISNUMBER($F37))),"",$G37-$F37)</f>
        <v/>
      </c>
      <c r="I37" s="28">
        <f>IF(OR($A37="",NOT(ISNUMBER($H37)),$G37=0),"",$H37/$G37)</f>
        <v/>
      </c>
    </row>
    <row r="38">
      <c r="A38" s="8">
        <f>IF('Dispatch board'!$A$32="","",'Dispatch board'!$A$32)</f>
        <v/>
      </c>
      <c r="B38" s="11">
        <f>IF($A38="","",IFERROR(VLOOKUP($A38,Board_Table,5,FALSE),""))</f>
        <v/>
      </c>
      <c r="C38" s="11">
        <f>IF($B38="","",IFERROR(VLOOKUP($B38,Fleet_Table,2,FALSE),""))</f>
        <v/>
      </c>
      <c r="D38" s="11">
        <f>IF($B38="","",IFERROR(VLOOKUP($B38,Fleet_Table,6,FALSE),""))</f>
        <v/>
      </c>
      <c r="E38" s="8" t="n"/>
      <c r="F38" s="26">
        <f>IF(OR($A38="",$C38=""),"",IFERROR(IF($D38="Per km",$E38*VLOOKUP($C38,Rate_Card,3,FALSE),VLOOKUP($C38,Rate_Card,2,FALSE)),""))</f>
        <v/>
      </c>
      <c r="G38" s="27" t="n"/>
      <c r="H38" s="26">
        <f>IF(OR($A38="",NOT(ISNUMBER($F38))),"",$G38-$F38)</f>
        <v/>
      </c>
      <c r="I38" s="28">
        <f>IF(OR($A38="",NOT(ISNUMBER($H38)),$G38=0),"",$H38/$G38)</f>
        <v/>
      </c>
    </row>
    <row r="39">
      <c r="A39" s="8">
        <f>IF('Dispatch board'!$A$33="","",'Dispatch board'!$A$33)</f>
        <v/>
      </c>
      <c r="B39" s="11">
        <f>IF($A39="","",IFERROR(VLOOKUP($A39,Board_Table,5,FALSE),""))</f>
        <v/>
      </c>
      <c r="C39" s="11">
        <f>IF($B39="","",IFERROR(VLOOKUP($B39,Fleet_Table,2,FALSE),""))</f>
        <v/>
      </c>
      <c r="D39" s="11">
        <f>IF($B39="","",IFERROR(VLOOKUP($B39,Fleet_Table,6,FALSE),""))</f>
        <v/>
      </c>
      <c r="E39" s="8" t="n"/>
      <c r="F39" s="26">
        <f>IF(OR($A39="",$C39=""),"",IFERROR(IF($D39="Per km",$E39*VLOOKUP($C39,Rate_Card,3,FALSE),VLOOKUP($C39,Rate_Card,2,FALSE)),""))</f>
        <v/>
      </c>
      <c r="G39" s="27" t="n"/>
      <c r="H39" s="26">
        <f>IF(OR($A39="",NOT(ISNUMBER($F39))),"",$G39-$F39)</f>
        <v/>
      </c>
      <c r="I39" s="28">
        <f>IF(OR($A39="",NOT(ISNUMBER($H39)),$G39=0),"",$H39/$G39)</f>
        <v/>
      </c>
    </row>
    <row r="40">
      <c r="A40" s="8">
        <f>IF('Dispatch board'!$A$34="","",'Dispatch board'!$A$34)</f>
        <v/>
      </c>
      <c r="B40" s="11">
        <f>IF($A40="","",IFERROR(VLOOKUP($A40,Board_Table,5,FALSE),""))</f>
        <v/>
      </c>
      <c r="C40" s="11">
        <f>IF($B40="","",IFERROR(VLOOKUP($B40,Fleet_Table,2,FALSE),""))</f>
        <v/>
      </c>
      <c r="D40" s="11">
        <f>IF($B40="","",IFERROR(VLOOKUP($B40,Fleet_Table,6,FALSE),""))</f>
        <v/>
      </c>
      <c r="E40" s="8" t="n"/>
      <c r="F40" s="26">
        <f>IF(OR($A40="",$C40=""),"",IFERROR(IF($D40="Per km",$E40*VLOOKUP($C40,Rate_Card,3,FALSE),VLOOKUP($C40,Rate_Card,2,FALSE)),""))</f>
        <v/>
      </c>
      <c r="G40" s="27" t="n"/>
      <c r="H40" s="26">
        <f>IF(OR($A40="",NOT(ISNUMBER($F40))),"",$G40-$F40)</f>
        <v/>
      </c>
      <c r="I40" s="28">
        <f>IF(OR($A40="",NOT(ISNUMBER($H40)),$G40=0),"",$H40/$G40)</f>
        <v/>
      </c>
    </row>
    <row r="41">
      <c r="A41" s="8">
        <f>IF('Dispatch board'!$A$35="","",'Dispatch board'!$A$35)</f>
        <v/>
      </c>
      <c r="B41" s="11">
        <f>IF($A41="","",IFERROR(VLOOKUP($A41,Board_Table,5,FALSE),""))</f>
        <v/>
      </c>
      <c r="C41" s="11">
        <f>IF($B41="","",IFERROR(VLOOKUP($B41,Fleet_Table,2,FALSE),""))</f>
        <v/>
      </c>
      <c r="D41" s="11">
        <f>IF($B41="","",IFERROR(VLOOKUP($B41,Fleet_Table,6,FALSE),""))</f>
        <v/>
      </c>
      <c r="E41" s="8" t="n"/>
      <c r="F41" s="26">
        <f>IF(OR($A41="",$C41=""),"",IFERROR(IF($D41="Per km",$E41*VLOOKUP($C41,Rate_Card,3,FALSE),VLOOKUP($C41,Rate_Card,2,FALSE)),""))</f>
        <v/>
      </c>
      <c r="G41" s="27" t="n"/>
      <c r="H41" s="26">
        <f>IF(OR($A41="",NOT(ISNUMBER($F41))),"",$G41-$F41)</f>
        <v/>
      </c>
      <c r="I41" s="28">
        <f>IF(OR($A41="",NOT(ISNUMBER($H41)),$G41=0),"",$H41/$G41)</f>
        <v/>
      </c>
    </row>
    <row r="42">
      <c r="A42" s="8">
        <f>IF('Dispatch board'!$A$36="","",'Dispatch board'!$A$36)</f>
        <v/>
      </c>
      <c r="B42" s="11">
        <f>IF($A42="","",IFERROR(VLOOKUP($A42,Board_Table,5,FALSE),""))</f>
        <v/>
      </c>
      <c r="C42" s="11">
        <f>IF($B42="","",IFERROR(VLOOKUP($B42,Fleet_Table,2,FALSE),""))</f>
        <v/>
      </c>
      <c r="D42" s="11">
        <f>IF($B42="","",IFERROR(VLOOKUP($B42,Fleet_Table,6,FALSE),""))</f>
        <v/>
      </c>
      <c r="E42" s="8" t="n"/>
      <c r="F42" s="26">
        <f>IF(OR($A42="",$C42=""),"",IFERROR(IF($D42="Per km",$E42*VLOOKUP($C42,Rate_Card,3,FALSE),VLOOKUP($C42,Rate_Card,2,FALSE)),""))</f>
        <v/>
      </c>
      <c r="G42" s="27" t="n"/>
      <c r="H42" s="26">
        <f>IF(OR($A42="",NOT(ISNUMBER($F42))),"",$G42-$F42)</f>
        <v/>
      </c>
      <c r="I42" s="28">
        <f>IF(OR($A42="",NOT(ISNUMBER($H42)),$G42=0),"",$H42/$G42)</f>
        <v/>
      </c>
    </row>
    <row r="43">
      <c r="A43" s="8">
        <f>IF('Dispatch board'!$A$37="","",'Dispatch board'!$A$37)</f>
        <v/>
      </c>
      <c r="B43" s="11">
        <f>IF($A43="","",IFERROR(VLOOKUP($A43,Board_Table,5,FALSE),""))</f>
        <v/>
      </c>
      <c r="C43" s="11">
        <f>IF($B43="","",IFERROR(VLOOKUP($B43,Fleet_Table,2,FALSE),""))</f>
        <v/>
      </c>
      <c r="D43" s="11">
        <f>IF($B43="","",IFERROR(VLOOKUP($B43,Fleet_Table,6,FALSE),""))</f>
        <v/>
      </c>
      <c r="E43" s="8" t="n"/>
      <c r="F43" s="26">
        <f>IF(OR($A43="",$C43=""),"",IFERROR(IF($D43="Per km",$E43*VLOOKUP($C43,Rate_Card,3,FALSE),VLOOKUP($C43,Rate_Card,2,FALSE)),""))</f>
        <v/>
      </c>
      <c r="G43" s="27" t="n"/>
      <c r="H43" s="26">
        <f>IF(OR($A43="",NOT(ISNUMBER($F43))),"",$G43-$F43)</f>
        <v/>
      </c>
      <c r="I43" s="28">
        <f>IF(OR($A43="",NOT(ISNUMBER($H43)),$G43=0),"",$H43/$G43)</f>
        <v/>
      </c>
    </row>
    <row r="44">
      <c r="A44" s="8">
        <f>IF('Dispatch board'!$A$38="","",'Dispatch board'!$A$38)</f>
        <v/>
      </c>
      <c r="B44" s="11">
        <f>IF($A44="","",IFERROR(VLOOKUP($A44,Board_Table,5,FALSE),""))</f>
        <v/>
      </c>
      <c r="C44" s="11">
        <f>IF($B44="","",IFERROR(VLOOKUP($B44,Fleet_Table,2,FALSE),""))</f>
        <v/>
      </c>
      <c r="D44" s="11">
        <f>IF($B44="","",IFERROR(VLOOKUP($B44,Fleet_Table,6,FALSE),""))</f>
        <v/>
      </c>
      <c r="E44" s="8" t="n"/>
      <c r="F44" s="26">
        <f>IF(OR($A44="",$C44=""),"",IFERROR(IF($D44="Per km",$E44*VLOOKUP($C44,Rate_Card,3,FALSE),VLOOKUP($C44,Rate_Card,2,FALSE)),""))</f>
        <v/>
      </c>
      <c r="G44" s="27" t="n"/>
      <c r="H44" s="26">
        <f>IF(OR($A44="",NOT(ISNUMBER($F44))),"",$G44-$F44)</f>
        <v/>
      </c>
      <c r="I44" s="28">
        <f>IF(OR($A44="",NOT(ISNUMBER($H44)),$G44=0),"",$H44/$G44)</f>
        <v/>
      </c>
    </row>
    <row r="45">
      <c r="A45" s="8">
        <f>IF('Dispatch board'!$A$39="","",'Dispatch board'!$A$39)</f>
        <v/>
      </c>
      <c r="B45" s="11">
        <f>IF($A45="","",IFERROR(VLOOKUP($A45,Board_Table,5,FALSE),""))</f>
        <v/>
      </c>
      <c r="C45" s="11">
        <f>IF($B45="","",IFERROR(VLOOKUP($B45,Fleet_Table,2,FALSE),""))</f>
        <v/>
      </c>
      <c r="D45" s="11">
        <f>IF($B45="","",IFERROR(VLOOKUP($B45,Fleet_Table,6,FALSE),""))</f>
        <v/>
      </c>
      <c r="E45" s="8" t="n"/>
      <c r="F45" s="26">
        <f>IF(OR($A45="",$C45=""),"",IFERROR(IF($D45="Per km",$E45*VLOOKUP($C45,Rate_Card,3,FALSE),VLOOKUP($C45,Rate_Card,2,FALSE)),""))</f>
        <v/>
      </c>
      <c r="G45" s="27" t="n"/>
      <c r="H45" s="26">
        <f>IF(OR($A45="",NOT(ISNUMBER($F45))),"",$G45-$F45)</f>
        <v/>
      </c>
      <c r="I45" s="28">
        <f>IF(OR($A45="",NOT(ISNUMBER($H45)),$G45=0),"",$H45/$G45)</f>
        <v/>
      </c>
    </row>
    <row r="46">
      <c r="E46" s="23" t="inlineStr">
        <is>
          <t>Day total</t>
        </is>
      </c>
      <c r="F46" s="29">
        <f>SUM(F12:F45)</f>
        <v/>
      </c>
      <c r="G46" s="29">
        <f>SUM(G12:G45)</f>
        <v/>
      </c>
      <c r="H46" s="29">
        <f>SUM(H12:H45)</f>
        <v/>
      </c>
      <c r="I46" s="30">
        <f>IF($G46=0,"",$H46/$G46)</f>
        <v/>
      </c>
    </row>
  </sheetData>
  <conditionalFormatting sqref="H12:I45">
    <cfRule type="expression" priority="1" dxfId="3" stopIfTrue="1">
      <formula>AND(ISNUMBER($H12),$H12&lt;0)</formula>
    </cfRule>
    <cfRule type="expression" priority="2" dxfId="4" stopIfTrue="1">
      <formula>AND(ISNUMBER($I12),$I12&lt;0.15)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Meridian OS</dc:creator>
  <dc:title xmlns:dc="http://purl.org/dc/elements/1.1/">Transfer dispatch template</dc:title>
  <dc:description xmlns:dc="http://purl.org/dc/elements/1.1/">A free, working Excel dispatch board for airport transfers. os-meridian.com/resources/transfer-dispatch-template/</dc:description>
  <dcterms:created xmlns:dcterms="http://purl.org/dc/terms/" xmlns:xsi="http://www.w3.org/2001/XMLSchema-instance" xsi:type="dcterms:W3CDTF">2026-08-28T13:12:36Z</dcterms:created>
  <dcterms:modified xmlns:dcterms="http://purl.org/dc/terms/" xmlns:xsi="http://www.w3.org/2001/XMLSchema-instance" xsi:type="dcterms:W3CDTF">2026-08-28T13:12:36Z</dcterms:modified>
</cp:coreProperties>
</file>